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05" windowWidth="5820" windowHeight="3435" tabRatio="497"/>
  </bookViews>
  <sheets>
    <sheet name="ΠΕΡΙΕΧΟΜΕΝΑ" sheetId="2" r:id="rId1"/>
    <sheet name="Μετατροπή κλασμ. σε δεκαδικούς" sheetId="30" r:id="rId2"/>
    <sheet name="Μετατρ κλάσμ σε δεκαδ.σε επιφ1" sheetId="66" r:id="rId3"/>
    <sheet name="Μετατρ κλ σε δεκαδ σε επιφάν.2" sheetId="53" r:id="rId4"/>
    <sheet name="Μετατροπή κλάσμ σε ποσοστό" sheetId="35" r:id="rId5"/>
    <sheet name="Κλ δεκαδ ποσοστά σε αριθμ γραμμ" sheetId="54" r:id="rId6"/>
    <sheet name="Το καρναβάλι των αριθμών" sheetId="49" r:id="rId7"/>
    <sheet name="ΣΥΓΚΡΙΣΗ Κλάσμ. Δεκαδικ.Ποσοστά" sheetId="63" r:id="rId8"/>
    <sheet name="Μετατροπή ποσοστού σε δεκαδικό" sheetId="67" r:id="rId9"/>
  </sheets>
  <calcPr calcId="125725"/>
</workbook>
</file>

<file path=xl/calcChain.xml><?xml version="1.0" encoding="utf-8"?>
<calcChain xmlns="http://schemas.openxmlformats.org/spreadsheetml/2006/main">
  <c r="M7" i="30"/>
  <c r="K8"/>
  <c r="AS18" s="1"/>
  <c r="Q8" i="35"/>
  <c r="Q9" s="1"/>
  <c r="V8"/>
  <c r="Q12"/>
  <c r="Q11"/>
  <c r="Q10"/>
  <c r="F113" i="67"/>
  <c r="F109"/>
  <c r="F105"/>
  <c r="F101"/>
  <c r="F97"/>
  <c r="F93"/>
  <c r="F89"/>
  <c r="F85"/>
  <c r="F81"/>
  <c r="F118" s="1"/>
  <c r="F116" s="1"/>
  <c r="F77"/>
  <c r="F73"/>
  <c r="F71" s="1"/>
  <c r="E70"/>
  <c r="H68"/>
  <c r="E66"/>
  <c r="H64"/>
  <c r="E62"/>
  <c r="H60"/>
  <c r="E58"/>
  <c r="H56"/>
  <c r="E54"/>
  <c r="H52"/>
  <c r="E50"/>
  <c r="H48"/>
  <c r="E46"/>
  <c r="H44"/>
  <c r="E42"/>
  <c r="H40"/>
  <c r="E38"/>
  <c r="H36"/>
  <c r="E34"/>
  <c r="H32"/>
  <c r="E26"/>
  <c r="H24"/>
  <c r="E22"/>
  <c r="H20"/>
  <c r="E18"/>
  <c r="H16"/>
  <c r="E14"/>
  <c r="H12"/>
  <c r="E10"/>
  <c r="H8"/>
  <c r="L135" i="49"/>
  <c r="H135"/>
  <c r="C135"/>
  <c r="L104"/>
  <c r="H104"/>
  <c r="C104"/>
  <c r="C85"/>
  <c r="H85"/>
  <c r="L85"/>
  <c r="L65"/>
  <c r="C65"/>
  <c r="N30" i="54"/>
  <c r="N7"/>
  <c r="F13"/>
  <c r="C9"/>
  <c r="E9"/>
  <c r="G9"/>
  <c r="I9"/>
  <c r="K9"/>
  <c r="M9"/>
  <c r="O9"/>
  <c r="Q9"/>
  <c r="S9"/>
  <c r="U9"/>
  <c r="D10"/>
  <c r="F10"/>
  <c r="H10"/>
  <c r="J10"/>
  <c r="L10"/>
  <c r="N10"/>
  <c r="P10"/>
  <c r="R10"/>
  <c r="T10"/>
  <c r="C11"/>
  <c r="D11"/>
  <c r="E11"/>
  <c r="F11"/>
  <c r="G11"/>
  <c r="H11"/>
  <c r="I11"/>
  <c r="J11"/>
  <c r="K11"/>
  <c r="L11"/>
  <c r="M11"/>
  <c r="N11"/>
  <c r="O11"/>
  <c r="P11"/>
  <c r="Q11"/>
  <c r="R11"/>
  <c r="S11"/>
  <c r="T11"/>
  <c r="U11"/>
  <c r="V11"/>
  <c r="D13"/>
  <c r="H13"/>
  <c r="L13"/>
  <c r="P13"/>
  <c r="T13"/>
  <c r="C14"/>
  <c r="G14"/>
  <c r="K14"/>
  <c r="O14"/>
  <c r="S14"/>
  <c r="H22"/>
  <c r="G33" s="1"/>
  <c r="L22"/>
  <c r="P22"/>
  <c r="T22"/>
  <c r="X22"/>
  <c r="F30"/>
  <c r="J30"/>
  <c r="R30"/>
  <c r="V30"/>
  <c r="H38"/>
  <c r="L38"/>
  <c r="P38"/>
  <c r="T38"/>
  <c r="X38"/>
  <c r="F46"/>
  <c r="J46"/>
  <c r="N46"/>
  <c r="R46"/>
  <c r="V46"/>
  <c r="D7" i="53"/>
  <c r="B8"/>
  <c r="F9" s="1"/>
  <c r="G9"/>
  <c r="I9"/>
  <c r="K9"/>
  <c r="M9"/>
  <c r="O9"/>
  <c r="Q9"/>
  <c r="R9"/>
  <c r="S9"/>
  <c r="T9"/>
  <c r="U9"/>
  <c r="V9"/>
  <c r="W9"/>
  <c r="X9"/>
  <c r="Y9"/>
  <c r="Z9"/>
  <c r="AB9"/>
  <c r="AC9"/>
  <c r="AD9"/>
  <c r="AE9"/>
  <c r="AF9"/>
  <c r="AG9"/>
  <c r="AH9"/>
  <c r="AI9"/>
  <c r="AJ9"/>
  <c r="AK9"/>
  <c r="F10"/>
  <c r="G10"/>
  <c r="H10"/>
  <c r="I10"/>
  <c r="J10"/>
  <c r="K10"/>
  <c r="L10"/>
  <c r="M10"/>
  <c r="N10"/>
  <c r="O10"/>
  <c r="Q10"/>
  <c r="R10"/>
  <c r="S10"/>
  <c r="T10"/>
  <c r="U10"/>
  <c r="V10"/>
  <c r="W10"/>
  <c r="X10"/>
  <c r="Y10"/>
  <c r="Z10"/>
  <c r="AB10"/>
  <c r="AC10"/>
  <c r="AD10"/>
  <c r="AE10"/>
  <c r="AF10"/>
  <c r="AG10"/>
  <c r="AH10"/>
  <c r="AI10"/>
  <c r="AJ10"/>
  <c r="AK10"/>
  <c r="F11"/>
  <c r="G11"/>
  <c r="H11"/>
  <c r="I11"/>
  <c r="J11"/>
  <c r="K11"/>
  <c r="L11"/>
  <c r="M11"/>
  <c r="N11"/>
  <c r="O11"/>
  <c r="Q11"/>
  <c r="R11"/>
  <c r="S11"/>
  <c r="T11"/>
  <c r="U11"/>
  <c r="V11"/>
  <c r="W11"/>
  <c r="X11"/>
  <c r="Y11"/>
  <c r="Z11"/>
  <c r="AB11"/>
  <c r="AC11"/>
  <c r="AD11"/>
  <c r="AE11"/>
  <c r="AF11"/>
  <c r="AG11"/>
  <c r="AH11"/>
  <c r="AI11"/>
  <c r="AJ11"/>
  <c r="AK11"/>
  <c r="F12"/>
  <c r="G12"/>
  <c r="H12"/>
  <c r="I12"/>
  <c r="J12"/>
  <c r="K12"/>
  <c r="L12"/>
  <c r="M12"/>
  <c r="N12"/>
  <c r="O12"/>
  <c r="Q12"/>
  <c r="R12"/>
  <c r="S12"/>
  <c r="T12"/>
  <c r="U12"/>
  <c r="V12"/>
  <c r="W12"/>
  <c r="X12"/>
  <c r="Y12"/>
  <c r="Z12"/>
  <c r="AB12"/>
  <c r="AC12"/>
  <c r="AD12"/>
  <c r="AE12"/>
  <c r="AF12"/>
  <c r="AG12"/>
  <c r="AH12"/>
  <c r="AI12"/>
  <c r="AJ12"/>
  <c r="AK12"/>
  <c r="F13"/>
  <c r="G13"/>
  <c r="H13"/>
  <c r="I13"/>
  <c r="J13"/>
  <c r="K13"/>
  <c r="L13"/>
  <c r="M13"/>
  <c r="N13"/>
  <c r="O13"/>
  <c r="Q13"/>
  <c r="R13"/>
  <c r="S13"/>
  <c r="T13"/>
  <c r="U13"/>
  <c r="V13"/>
  <c r="W13"/>
  <c r="X13"/>
  <c r="Y13"/>
  <c r="Z13"/>
  <c r="AB13"/>
  <c r="AC13"/>
  <c r="AD13"/>
  <c r="AE13"/>
  <c r="AF13"/>
  <c r="AG13"/>
  <c r="AH13"/>
  <c r="AI13"/>
  <c r="AJ13"/>
  <c r="AK13"/>
  <c r="F14"/>
  <c r="G14"/>
  <c r="H14"/>
  <c r="I14"/>
  <c r="J14"/>
  <c r="K14"/>
  <c r="L14"/>
  <c r="M14"/>
  <c r="N14"/>
  <c r="O14"/>
  <c r="Q14"/>
  <c r="R14"/>
  <c r="S14"/>
  <c r="T14"/>
  <c r="U14"/>
  <c r="V14"/>
  <c r="W14"/>
  <c r="X14"/>
  <c r="Y14"/>
  <c r="Z14"/>
  <c r="AB14"/>
  <c r="AC14"/>
  <c r="AD14"/>
  <c r="AE14"/>
  <c r="AF14"/>
  <c r="AG14"/>
  <c r="AH14"/>
  <c r="AI14"/>
  <c r="AJ14"/>
  <c r="AK14"/>
  <c r="F15"/>
  <c r="G15"/>
  <c r="H15"/>
  <c r="I15"/>
  <c r="J15"/>
  <c r="K15"/>
  <c r="L15"/>
  <c r="M15"/>
  <c r="N15"/>
  <c r="O15"/>
  <c r="Q15"/>
  <c r="R15"/>
  <c r="S15"/>
  <c r="T15"/>
  <c r="U15"/>
  <c r="V15"/>
  <c r="W15"/>
  <c r="X15"/>
  <c r="Y15"/>
  <c r="Z15"/>
  <c r="AB15"/>
  <c r="AC15"/>
  <c r="AD15"/>
  <c r="AE15"/>
  <c r="AF15"/>
  <c r="AG15"/>
  <c r="AH15"/>
  <c r="AI15"/>
  <c r="AJ15"/>
  <c r="AK15"/>
  <c r="F16"/>
  <c r="G16"/>
  <c r="H16"/>
  <c r="I16"/>
  <c r="J16"/>
  <c r="K16"/>
  <c r="L16"/>
  <c r="M16"/>
  <c r="N16"/>
  <c r="O16"/>
  <c r="Q16"/>
  <c r="R16"/>
  <c r="S16"/>
  <c r="T16"/>
  <c r="U16"/>
  <c r="V16"/>
  <c r="W16"/>
  <c r="X16"/>
  <c r="Y16"/>
  <c r="Z16"/>
  <c r="AB16"/>
  <c r="AC16"/>
  <c r="AD16"/>
  <c r="AE16"/>
  <c r="AF16"/>
  <c r="AG16"/>
  <c r="AH16"/>
  <c r="AI16"/>
  <c r="AJ16"/>
  <c r="AK16"/>
  <c r="F17"/>
  <c r="G17"/>
  <c r="H17"/>
  <c r="I17"/>
  <c r="J17"/>
  <c r="K17"/>
  <c r="L17"/>
  <c r="M17"/>
  <c r="N17"/>
  <c r="O17"/>
  <c r="Q17"/>
  <c r="R17"/>
  <c r="S17"/>
  <c r="T17"/>
  <c r="U17"/>
  <c r="V17"/>
  <c r="W17"/>
  <c r="X17"/>
  <c r="Y17"/>
  <c r="Z17"/>
  <c r="AB17"/>
  <c r="AC17"/>
  <c r="AD17"/>
  <c r="AE17"/>
  <c r="AF17"/>
  <c r="AG17"/>
  <c r="AH17"/>
  <c r="AI17"/>
  <c r="AJ17"/>
  <c r="AK17"/>
  <c r="F18"/>
  <c r="G18"/>
  <c r="H18"/>
  <c r="I18"/>
  <c r="J18"/>
  <c r="K18"/>
  <c r="L18"/>
  <c r="M18"/>
  <c r="N18"/>
  <c r="O18"/>
  <c r="Q18"/>
  <c r="R18"/>
  <c r="S18"/>
  <c r="T18"/>
  <c r="U18"/>
  <c r="V18"/>
  <c r="W18"/>
  <c r="X18"/>
  <c r="Y18"/>
  <c r="Z18"/>
  <c r="AB18"/>
  <c r="AC18"/>
  <c r="AD18"/>
  <c r="AE18"/>
  <c r="AF18"/>
  <c r="AG18"/>
  <c r="AH18"/>
  <c r="AI18"/>
  <c r="AJ18"/>
  <c r="AK18"/>
  <c r="B29"/>
  <c r="D29"/>
  <c r="S29"/>
  <c r="W29"/>
  <c r="B41"/>
  <c r="D41"/>
  <c r="S41"/>
  <c r="W41"/>
  <c r="B53"/>
  <c r="D53"/>
  <c r="S53"/>
  <c r="W53"/>
  <c r="B65"/>
  <c r="D65"/>
  <c r="S65"/>
  <c r="W65"/>
  <c r="B77"/>
  <c r="D77"/>
  <c r="B89"/>
  <c r="D89"/>
  <c r="K97"/>
  <c r="K98" s="1"/>
  <c r="D15" i="66"/>
  <c r="H15"/>
  <c r="D16"/>
  <c r="H17"/>
  <c r="H18"/>
  <c r="H19"/>
  <c r="D31"/>
  <c r="F31"/>
  <c r="D34"/>
  <c r="A35"/>
  <c r="B35"/>
  <c r="C35"/>
  <c r="D35"/>
  <c r="E35"/>
  <c r="F35"/>
  <c r="G35"/>
  <c r="H35"/>
  <c r="I35"/>
  <c r="J35"/>
  <c r="A37"/>
  <c r="B37"/>
  <c r="C37"/>
  <c r="D37"/>
  <c r="E37"/>
  <c r="F37"/>
  <c r="G37"/>
  <c r="H37"/>
  <c r="I37"/>
  <c r="J37"/>
  <c r="A38"/>
  <c r="B38"/>
  <c r="C38"/>
  <c r="D38"/>
  <c r="E38"/>
  <c r="F38"/>
  <c r="G38"/>
  <c r="H38"/>
  <c r="I38"/>
  <c r="J38"/>
  <c r="J39"/>
  <c r="D47"/>
  <c r="H47"/>
  <c r="H49"/>
  <c r="H50"/>
  <c r="D58"/>
  <c r="B62"/>
  <c r="H58"/>
  <c r="D60"/>
  <c r="H61" s="1"/>
  <c r="D61"/>
  <c r="H60" s="1"/>
  <c r="D62"/>
  <c r="H62"/>
  <c r="B64"/>
  <c r="F64"/>
  <c r="J64"/>
  <c r="D65"/>
  <c r="H65"/>
  <c r="H8" i="35"/>
  <c r="G8" s="1"/>
  <c r="D10"/>
  <c r="H12"/>
  <c r="G12" s="1"/>
  <c r="D14"/>
  <c r="H16"/>
  <c r="G16" s="1"/>
  <c r="D18"/>
  <c r="J26"/>
  <c r="I26" s="1"/>
  <c r="F28"/>
  <c r="H37"/>
  <c r="G37" s="1"/>
  <c r="Q41"/>
  <c r="D46"/>
  <c r="H46"/>
  <c r="G46" s="1"/>
  <c r="S50"/>
  <c r="D55"/>
  <c r="H55"/>
  <c r="G55" s="1"/>
  <c r="S59"/>
  <c r="H71"/>
  <c r="G71" s="1"/>
  <c r="D73"/>
  <c r="H75"/>
  <c r="G75" s="1"/>
  <c r="S76"/>
  <c r="D77"/>
  <c r="H79"/>
  <c r="G79" s="1"/>
  <c r="D81"/>
  <c r="H83"/>
  <c r="G83" s="1"/>
  <c r="D85"/>
  <c r="H87"/>
  <c r="G87" s="1"/>
  <c r="D89"/>
  <c r="H91"/>
  <c r="G91" s="1"/>
  <c r="D93"/>
  <c r="S94"/>
  <c r="H95"/>
  <c r="G95" s="1"/>
  <c r="D97"/>
  <c r="H99"/>
  <c r="G99" s="1"/>
  <c r="D101"/>
  <c r="G103"/>
  <c r="H103"/>
  <c r="D105"/>
  <c r="H107"/>
  <c r="G107" s="1"/>
  <c r="D109"/>
  <c r="D119"/>
  <c r="H119"/>
  <c r="G119" s="1"/>
  <c r="S123"/>
  <c r="D127"/>
  <c r="H127"/>
  <c r="G127" s="1"/>
  <c r="S131"/>
  <c r="D135"/>
  <c r="H135"/>
  <c r="G135" s="1"/>
  <c r="S139"/>
  <c r="D143"/>
  <c r="H143"/>
  <c r="G143" s="1"/>
  <c r="S147"/>
  <c r="D151"/>
  <c r="H151"/>
  <c r="G151" s="1"/>
  <c r="S155"/>
  <c r="D159"/>
  <c r="H159"/>
  <c r="G159" s="1"/>
  <c r="S163"/>
  <c r="D167"/>
  <c r="H167"/>
  <c r="G167" s="1"/>
  <c r="S171"/>
  <c r="D175"/>
  <c r="H175"/>
  <c r="G175" s="1"/>
  <c r="S179"/>
  <c r="D183"/>
  <c r="H183"/>
  <c r="G183" s="1"/>
  <c r="S187"/>
  <c r="D191"/>
  <c r="H191"/>
  <c r="G191" s="1"/>
  <c r="S195"/>
  <c r="F200"/>
  <c r="F198" s="1"/>
  <c r="J209"/>
  <c r="I209" s="1"/>
  <c r="D211"/>
  <c r="F211"/>
  <c r="J214"/>
  <c r="I214" s="1"/>
  <c r="D216"/>
  <c r="F216"/>
  <c r="J218"/>
  <c r="I218" s="1"/>
  <c r="D220"/>
  <c r="F220"/>
  <c r="J222"/>
  <c r="I222" s="1"/>
  <c r="D224"/>
  <c r="F224"/>
  <c r="J226"/>
  <c r="I226" s="1"/>
  <c r="D228"/>
  <c r="F228"/>
  <c r="J230"/>
  <c r="I230" s="1"/>
  <c r="D232"/>
  <c r="F232"/>
  <c r="J234"/>
  <c r="I234" s="1"/>
  <c r="D236"/>
  <c r="F236"/>
  <c r="J238"/>
  <c r="I238" s="1"/>
  <c r="D240"/>
  <c r="F240"/>
  <c r="J242"/>
  <c r="I242" s="1"/>
  <c r="D244"/>
  <c r="F244"/>
  <c r="J246"/>
  <c r="I246" s="1"/>
  <c r="D248"/>
  <c r="F248"/>
  <c r="J250"/>
  <c r="I250" s="1"/>
  <c r="D252"/>
  <c r="F252"/>
  <c r="F255"/>
  <c r="F253" s="1"/>
  <c r="H260"/>
  <c r="G260" s="1"/>
  <c r="D262"/>
  <c r="H264"/>
  <c r="G264"/>
  <c r="S265"/>
  <c r="D266"/>
  <c r="H268"/>
  <c r="G268"/>
  <c r="D270"/>
  <c r="G272"/>
  <c r="H272"/>
  <c r="D274"/>
  <c r="H276"/>
  <c r="G276"/>
  <c r="D278"/>
  <c r="G280"/>
  <c r="H280"/>
  <c r="D282"/>
  <c r="S283"/>
  <c r="G284"/>
  <c r="H284"/>
  <c r="D286"/>
  <c r="H288"/>
  <c r="G288"/>
  <c r="D290"/>
  <c r="H292"/>
  <c r="G292" s="1"/>
  <c r="D294"/>
  <c r="H296"/>
  <c r="G296"/>
  <c r="D298"/>
  <c r="G8" i="30"/>
  <c r="D10"/>
  <c r="G12"/>
  <c r="D14"/>
  <c r="G16"/>
  <c r="D18"/>
  <c r="I27"/>
  <c r="F29"/>
  <c r="E37"/>
  <c r="P41"/>
  <c r="D46"/>
  <c r="E46" s="1"/>
  <c r="R50"/>
  <c r="D55"/>
  <c r="E55"/>
  <c r="R59"/>
  <c r="G71"/>
  <c r="T103" s="1"/>
  <c r="T101" s="1"/>
  <c r="D73"/>
  <c r="G75"/>
  <c r="R76"/>
  <c r="D77"/>
  <c r="G79"/>
  <c r="D81"/>
  <c r="G83"/>
  <c r="D85"/>
  <c r="G87"/>
  <c r="D89"/>
  <c r="G91"/>
  <c r="D93"/>
  <c r="R94"/>
  <c r="G95"/>
  <c r="D97"/>
  <c r="G99"/>
  <c r="D101"/>
  <c r="G103"/>
  <c r="D105"/>
  <c r="G107"/>
  <c r="D109"/>
  <c r="D118"/>
  <c r="E118" s="1"/>
  <c r="R122"/>
  <c r="D126"/>
  <c r="E126"/>
  <c r="R130"/>
  <c r="D134"/>
  <c r="E134" s="1"/>
  <c r="R138"/>
  <c r="D142"/>
  <c r="E142"/>
  <c r="R146"/>
  <c r="D150"/>
  <c r="E150" s="1"/>
  <c r="R154"/>
  <c r="D158"/>
  <c r="E158"/>
  <c r="R162"/>
  <c r="D166"/>
  <c r="E166" s="1"/>
  <c r="R170"/>
  <c r="D174"/>
  <c r="E174"/>
  <c r="R178"/>
  <c r="D182"/>
  <c r="E182" s="1"/>
  <c r="R186"/>
  <c r="D190"/>
  <c r="E190"/>
  <c r="R194"/>
  <c r="I208"/>
  <c r="D210"/>
  <c r="F210"/>
  <c r="I213"/>
  <c r="D215"/>
  <c r="F215"/>
  <c r="I217"/>
  <c r="F254" s="1"/>
  <c r="F252" s="1"/>
  <c r="D219"/>
  <c r="F219"/>
  <c r="I221"/>
  <c r="D223"/>
  <c r="F223"/>
  <c r="I225"/>
  <c r="D227"/>
  <c r="F227"/>
  <c r="I229"/>
  <c r="D231"/>
  <c r="F231"/>
  <c r="I233"/>
  <c r="D235"/>
  <c r="F235"/>
  <c r="I237"/>
  <c r="D239"/>
  <c r="F239"/>
  <c r="I241"/>
  <c r="D243"/>
  <c r="F243"/>
  <c r="I245"/>
  <c r="D247"/>
  <c r="F247"/>
  <c r="I249"/>
  <c r="D251"/>
  <c r="F251"/>
  <c r="G259"/>
  <c r="D261"/>
  <c r="G263"/>
  <c r="R264"/>
  <c r="D265"/>
  <c r="G267"/>
  <c r="T291" s="1"/>
  <c r="T289" s="1"/>
  <c r="D269"/>
  <c r="G271"/>
  <c r="D273"/>
  <c r="G275"/>
  <c r="D277"/>
  <c r="G279"/>
  <c r="D281"/>
  <c r="R282"/>
  <c r="G283"/>
  <c r="D285"/>
  <c r="G287"/>
  <c r="D289"/>
  <c r="G291"/>
  <c r="D293"/>
  <c r="G295"/>
  <c r="D297"/>
  <c r="H7" i="63"/>
  <c r="BC7"/>
  <c r="E10"/>
  <c r="F10"/>
  <c r="G10"/>
  <c r="H10"/>
  <c r="I10"/>
  <c r="J10"/>
  <c r="K10"/>
  <c r="L10"/>
  <c r="M10"/>
  <c r="N10"/>
  <c r="P10"/>
  <c r="Q10"/>
  <c r="R10"/>
  <c r="S10"/>
  <c r="T10"/>
  <c r="U10"/>
  <c r="V10"/>
  <c r="W10"/>
  <c r="X10"/>
  <c r="Y10"/>
  <c r="AB10"/>
  <c r="AC10"/>
  <c r="AD10"/>
  <c r="AE10"/>
  <c r="AF10"/>
  <c r="AG10"/>
  <c r="AH10"/>
  <c r="AI10"/>
  <c r="AJ10"/>
  <c r="AK10"/>
  <c r="AM10"/>
  <c r="AN10"/>
  <c r="AO10"/>
  <c r="AP10"/>
  <c r="AQ10"/>
  <c r="AR10"/>
  <c r="AS10"/>
  <c r="AT10"/>
  <c r="AU10"/>
  <c r="AV10"/>
  <c r="AZ10"/>
  <c r="BA10"/>
  <c r="BB10"/>
  <c r="BC10"/>
  <c r="BD10"/>
  <c r="BE10"/>
  <c r="BF10"/>
  <c r="BG10"/>
  <c r="BH10"/>
  <c r="BI10"/>
  <c r="BK10"/>
  <c r="BL10"/>
  <c r="BM10"/>
  <c r="BN10"/>
  <c r="BO10"/>
  <c r="BP10"/>
  <c r="BQ10"/>
  <c r="BR10"/>
  <c r="BS10"/>
  <c r="BT10"/>
  <c r="E11"/>
  <c r="F11"/>
  <c r="G11"/>
  <c r="H11"/>
  <c r="I11"/>
  <c r="J11"/>
  <c r="K11"/>
  <c r="L11"/>
  <c r="M11"/>
  <c r="N11"/>
  <c r="P11"/>
  <c r="Q11"/>
  <c r="R11"/>
  <c r="S11"/>
  <c r="T11"/>
  <c r="U11"/>
  <c r="V11"/>
  <c r="W11"/>
  <c r="X11"/>
  <c r="Y11"/>
  <c r="AB11"/>
  <c r="AC11"/>
  <c r="AD11"/>
  <c r="AE11"/>
  <c r="AF11"/>
  <c r="AG11"/>
  <c r="AH11"/>
  <c r="AI11"/>
  <c r="AJ11"/>
  <c r="AK11"/>
  <c r="AM11"/>
  <c r="AN11"/>
  <c r="AO11"/>
  <c r="AP11"/>
  <c r="AQ11"/>
  <c r="AR11"/>
  <c r="AS11"/>
  <c r="AT11"/>
  <c r="AU11"/>
  <c r="AV11"/>
  <c r="AZ11"/>
  <c r="BA11"/>
  <c r="BB11"/>
  <c r="BC11"/>
  <c r="BD11"/>
  <c r="BE11"/>
  <c r="BF11"/>
  <c r="BG11"/>
  <c r="BH11"/>
  <c r="BI11"/>
  <c r="BK11"/>
  <c r="BL11"/>
  <c r="BM11"/>
  <c r="BN11"/>
  <c r="BO11"/>
  <c r="BP11"/>
  <c r="BQ11"/>
  <c r="BR11"/>
  <c r="BS11"/>
  <c r="BT11"/>
  <c r="E12"/>
  <c r="F12"/>
  <c r="G12"/>
  <c r="H12"/>
  <c r="I12"/>
  <c r="J12"/>
  <c r="K12"/>
  <c r="L12"/>
  <c r="M12"/>
  <c r="N12"/>
  <c r="P12"/>
  <c r="Q12"/>
  <c r="R12"/>
  <c r="S12"/>
  <c r="T12"/>
  <c r="U12"/>
  <c r="V12"/>
  <c r="W12"/>
  <c r="X12"/>
  <c r="Y12"/>
  <c r="AB12"/>
  <c r="AC12"/>
  <c r="AD12"/>
  <c r="AE12"/>
  <c r="AF12"/>
  <c r="AG12"/>
  <c r="AH12"/>
  <c r="AI12"/>
  <c r="AJ12"/>
  <c r="AK12"/>
  <c r="AM12"/>
  <c r="AN12"/>
  <c r="AO12"/>
  <c r="AP12"/>
  <c r="AQ12"/>
  <c r="AR12"/>
  <c r="AS12"/>
  <c r="AT12"/>
  <c r="AU12"/>
  <c r="AV12"/>
  <c r="AZ12"/>
  <c r="BA12"/>
  <c r="BB12"/>
  <c r="BC12"/>
  <c r="BD12"/>
  <c r="BE12"/>
  <c r="BF12"/>
  <c r="BG12"/>
  <c r="BH12"/>
  <c r="BI12"/>
  <c r="BK12"/>
  <c r="BL12"/>
  <c r="BM12"/>
  <c r="BN12"/>
  <c r="BO12"/>
  <c r="BP12"/>
  <c r="BQ12"/>
  <c r="BR12"/>
  <c r="BS12"/>
  <c r="BT12"/>
  <c r="E13"/>
  <c r="F13"/>
  <c r="G13"/>
  <c r="H13"/>
  <c r="I13"/>
  <c r="J13"/>
  <c r="K13"/>
  <c r="L13"/>
  <c r="M13"/>
  <c r="N13"/>
  <c r="P13"/>
  <c r="Q13"/>
  <c r="R13"/>
  <c r="S13"/>
  <c r="T13"/>
  <c r="U13"/>
  <c r="V13"/>
  <c r="W13"/>
  <c r="X13"/>
  <c r="Y13"/>
  <c r="AB13"/>
  <c r="AC13"/>
  <c r="AD13"/>
  <c r="AE13"/>
  <c r="AF13"/>
  <c r="AG13"/>
  <c r="AH13"/>
  <c r="AI13"/>
  <c r="AJ13"/>
  <c r="AK13"/>
  <c r="AM13"/>
  <c r="AN13"/>
  <c r="AO13"/>
  <c r="AP13"/>
  <c r="AQ13"/>
  <c r="AR13"/>
  <c r="AS13"/>
  <c r="AT13"/>
  <c r="AU13"/>
  <c r="AV13"/>
  <c r="AZ13"/>
  <c r="BA13"/>
  <c r="BB13"/>
  <c r="BC13"/>
  <c r="BD13"/>
  <c r="BE13"/>
  <c r="BF13"/>
  <c r="BG13"/>
  <c r="BH13"/>
  <c r="BI13"/>
  <c r="BK13"/>
  <c r="BL13"/>
  <c r="BM13"/>
  <c r="BN13"/>
  <c r="BO13"/>
  <c r="BP13"/>
  <c r="BQ13"/>
  <c r="BR13"/>
  <c r="BS13"/>
  <c r="BT13"/>
  <c r="E14"/>
  <c r="F14"/>
  <c r="G14"/>
  <c r="H14"/>
  <c r="I14"/>
  <c r="J14"/>
  <c r="K14"/>
  <c r="L14"/>
  <c r="M14"/>
  <c r="N14"/>
  <c r="P14"/>
  <c r="Q14"/>
  <c r="R14"/>
  <c r="S14"/>
  <c r="T14"/>
  <c r="U14"/>
  <c r="V14"/>
  <c r="W14"/>
  <c r="X14"/>
  <c r="Y14"/>
  <c r="AB14"/>
  <c r="AC14"/>
  <c r="AD14"/>
  <c r="AE14"/>
  <c r="AF14"/>
  <c r="AG14"/>
  <c r="AH14"/>
  <c r="AI14"/>
  <c r="AJ14"/>
  <c r="AK14"/>
  <c r="AM14"/>
  <c r="AN14"/>
  <c r="AO14"/>
  <c r="AP14"/>
  <c r="AQ14"/>
  <c r="AR14"/>
  <c r="AS14"/>
  <c r="AT14"/>
  <c r="AU14"/>
  <c r="AV14"/>
  <c r="AZ14"/>
  <c r="BA14"/>
  <c r="BB14"/>
  <c r="BC14"/>
  <c r="BD14"/>
  <c r="BE14"/>
  <c r="BF14"/>
  <c r="BG14"/>
  <c r="BH14"/>
  <c r="BI14"/>
  <c r="BK14"/>
  <c r="BL14"/>
  <c r="BM14"/>
  <c r="BN14"/>
  <c r="BO14"/>
  <c r="BP14"/>
  <c r="BQ14"/>
  <c r="BR14"/>
  <c r="BS14"/>
  <c r="BT14"/>
  <c r="E15"/>
  <c r="F15"/>
  <c r="G15"/>
  <c r="H15"/>
  <c r="I15"/>
  <c r="J15"/>
  <c r="K15"/>
  <c r="L15"/>
  <c r="M15"/>
  <c r="N15"/>
  <c r="P15"/>
  <c r="Q15"/>
  <c r="R15"/>
  <c r="S15"/>
  <c r="T15"/>
  <c r="U15"/>
  <c r="V15"/>
  <c r="W15"/>
  <c r="X15"/>
  <c r="Y15"/>
  <c r="AB15"/>
  <c r="AC15"/>
  <c r="AD15"/>
  <c r="AE15"/>
  <c r="AF15"/>
  <c r="AG15"/>
  <c r="AH15"/>
  <c r="AI15"/>
  <c r="AJ15"/>
  <c r="AK15"/>
  <c r="AM15"/>
  <c r="AN15"/>
  <c r="AO15"/>
  <c r="AP15"/>
  <c r="AQ15"/>
  <c r="AR15"/>
  <c r="AS15"/>
  <c r="AT15"/>
  <c r="AU15"/>
  <c r="AV15"/>
  <c r="AZ15"/>
  <c r="BA15"/>
  <c r="BB15"/>
  <c r="BC15"/>
  <c r="BD15"/>
  <c r="BE15"/>
  <c r="BF15"/>
  <c r="BG15"/>
  <c r="BH15"/>
  <c r="BI15"/>
  <c r="BK15"/>
  <c r="BL15"/>
  <c r="BM15"/>
  <c r="BN15"/>
  <c r="BO15"/>
  <c r="BP15"/>
  <c r="BQ15"/>
  <c r="BR15"/>
  <c r="BS15"/>
  <c r="BT15"/>
  <c r="E16"/>
  <c r="F16"/>
  <c r="G16"/>
  <c r="H16"/>
  <c r="I16"/>
  <c r="J16"/>
  <c r="K16"/>
  <c r="L16"/>
  <c r="M16"/>
  <c r="N16"/>
  <c r="P16"/>
  <c r="Q16"/>
  <c r="R16"/>
  <c r="S16"/>
  <c r="T16"/>
  <c r="U16"/>
  <c r="V16"/>
  <c r="W16"/>
  <c r="X16"/>
  <c r="Y16"/>
  <c r="AB16"/>
  <c r="AC16"/>
  <c r="AD16"/>
  <c r="AE16"/>
  <c r="AF16"/>
  <c r="AG16"/>
  <c r="AH16"/>
  <c r="AI16"/>
  <c r="AJ16"/>
  <c r="AK16"/>
  <c r="AM16"/>
  <c r="AN16"/>
  <c r="AO16"/>
  <c r="AP16"/>
  <c r="AQ16"/>
  <c r="AR16"/>
  <c r="AS16"/>
  <c r="AT16"/>
  <c r="AU16"/>
  <c r="AV16"/>
  <c r="AZ16"/>
  <c r="BA16"/>
  <c r="BB16"/>
  <c r="BC16"/>
  <c r="BD16"/>
  <c r="BE16"/>
  <c r="BF16"/>
  <c r="BG16"/>
  <c r="BH16"/>
  <c r="BI16"/>
  <c r="BK16"/>
  <c r="BL16"/>
  <c r="BM16"/>
  <c r="BN16"/>
  <c r="BO16"/>
  <c r="BP16"/>
  <c r="BQ16"/>
  <c r="BR16"/>
  <c r="BS16"/>
  <c r="BT16"/>
  <c r="E17"/>
  <c r="F17"/>
  <c r="G17"/>
  <c r="H17"/>
  <c r="I17"/>
  <c r="J17"/>
  <c r="K17"/>
  <c r="L17"/>
  <c r="M17"/>
  <c r="N17"/>
  <c r="P17"/>
  <c r="Q17"/>
  <c r="R17"/>
  <c r="S17"/>
  <c r="T17"/>
  <c r="U17"/>
  <c r="V17"/>
  <c r="W17"/>
  <c r="X17"/>
  <c r="Y17"/>
  <c r="AB17"/>
  <c r="AC17"/>
  <c r="AD17"/>
  <c r="AE17"/>
  <c r="AF17"/>
  <c r="AG17"/>
  <c r="AH17"/>
  <c r="AI17"/>
  <c r="AJ17"/>
  <c r="AK17"/>
  <c r="AM17"/>
  <c r="AN17"/>
  <c r="AO17"/>
  <c r="AP17"/>
  <c r="AQ17"/>
  <c r="AR17"/>
  <c r="AS17"/>
  <c r="AT17"/>
  <c r="AU17"/>
  <c r="AV17"/>
  <c r="AZ17"/>
  <c r="BA17"/>
  <c r="BB17"/>
  <c r="BC17"/>
  <c r="BD17"/>
  <c r="BE17"/>
  <c r="BF17"/>
  <c r="BG17"/>
  <c r="BH17"/>
  <c r="BI17"/>
  <c r="BK17"/>
  <c r="BL17"/>
  <c r="BM17"/>
  <c r="BN17"/>
  <c r="BO17"/>
  <c r="BP17"/>
  <c r="BQ17"/>
  <c r="BR17"/>
  <c r="BS17"/>
  <c r="BT17"/>
  <c r="E18"/>
  <c r="F18"/>
  <c r="G18"/>
  <c r="H18"/>
  <c r="I18"/>
  <c r="J18"/>
  <c r="K18"/>
  <c r="L18"/>
  <c r="M18"/>
  <c r="N18"/>
  <c r="P18"/>
  <c r="Q18"/>
  <c r="R18"/>
  <c r="S18"/>
  <c r="T18"/>
  <c r="U18"/>
  <c r="V18"/>
  <c r="W18"/>
  <c r="X18"/>
  <c r="Y18"/>
  <c r="AB18"/>
  <c r="AC18"/>
  <c r="AD18"/>
  <c r="AE18"/>
  <c r="AF18"/>
  <c r="AG18"/>
  <c r="AH18"/>
  <c r="AI18"/>
  <c r="AJ18"/>
  <c r="AK18"/>
  <c r="AM18"/>
  <c r="AN18"/>
  <c r="AO18"/>
  <c r="AP18"/>
  <c r="AQ18"/>
  <c r="AR18"/>
  <c r="AS18"/>
  <c r="AT18"/>
  <c r="AU18"/>
  <c r="AV18"/>
  <c r="AZ18"/>
  <c r="BA18"/>
  <c r="BB18"/>
  <c r="BC18"/>
  <c r="BD18"/>
  <c r="BE18"/>
  <c r="BF18"/>
  <c r="BG18"/>
  <c r="BH18"/>
  <c r="BI18"/>
  <c r="BK18"/>
  <c r="BL18"/>
  <c r="BM18"/>
  <c r="BN18"/>
  <c r="BO18"/>
  <c r="BP18"/>
  <c r="BQ18"/>
  <c r="BR18"/>
  <c r="BS18"/>
  <c r="BT18"/>
  <c r="E19"/>
  <c r="F19"/>
  <c r="G19"/>
  <c r="H19"/>
  <c r="I19"/>
  <c r="J19"/>
  <c r="K19"/>
  <c r="L19"/>
  <c r="M19"/>
  <c r="N19"/>
  <c r="P19"/>
  <c r="Q19"/>
  <c r="R19"/>
  <c r="S19"/>
  <c r="T19"/>
  <c r="U19"/>
  <c r="V19"/>
  <c r="W19"/>
  <c r="X19"/>
  <c r="Y19"/>
  <c r="AB19"/>
  <c r="AC19"/>
  <c r="AD19"/>
  <c r="AE19"/>
  <c r="AF19"/>
  <c r="AG19"/>
  <c r="AH19"/>
  <c r="AI19"/>
  <c r="AJ19"/>
  <c r="AK19"/>
  <c r="AM19"/>
  <c r="AN19"/>
  <c r="AO19"/>
  <c r="AP19"/>
  <c r="AQ19"/>
  <c r="AR19"/>
  <c r="AS19"/>
  <c r="AT19"/>
  <c r="AU19"/>
  <c r="AV19"/>
  <c r="AZ19"/>
  <c r="BA19"/>
  <c r="BB19"/>
  <c r="BC19"/>
  <c r="BD19"/>
  <c r="BE19"/>
  <c r="BF19"/>
  <c r="BG19"/>
  <c r="BH19"/>
  <c r="BI19"/>
  <c r="BK19"/>
  <c r="BL19"/>
  <c r="BM19"/>
  <c r="BN19"/>
  <c r="BO19"/>
  <c r="BP19"/>
  <c r="BQ19"/>
  <c r="BR19"/>
  <c r="BS19"/>
  <c r="BT19"/>
  <c r="H29" i="49"/>
  <c r="L29"/>
  <c r="H65"/>
  <c r="F199" i="30"/>
  <c r="F197" s="1"/>
  <c r="U292" i="35"/>
  <c r="U290" s="1"/>
  <c r="U103"/>
  <c r="U101" s="1"/>
  <c r="J65" i="66"/>
  <c r="F65"/>
  <c r="B65"/>
  <c r="H64"/>
  <c r="D64"/>
  <c r="J62"/>
  <c r="F62"/>
  <c r="D32"/>
  <c r="D33" s="1"/>
  <c r="D48"/>
  <c r="A62"/>
  <c r="C62"/>
  <c r="E62"/>
  <c r="G62"/>
  <c r="I62"/>
  <c r="A64"/>
  <c r="C64"/>
  <c r="E64"/>
  <c r="G64"/>
  <c r="I64"/>
  <c r="A65"/>
  <c r="C65"/>
  <c r="E65"/>
  <c r="G65"/>
  <c r="I65"/>
  <c r="J66"/>
  <c r="U14" i="54"/>
  <c r="Q14"/>
  <c r="M14"/>
  <c r="I14"/>
  <c r="E14"/>
  <c r="V13"/>
  <c r="R13"/>
  <c r="N13"/>
  <c r="J13"/>
  <c r="D59" i="66"/>
  <c r="P9" i="30" l="1"/>
  <c r="R9"/>
  <c r="T9"/>
  <c r="V9"/>
  <c r="X9"/>
  <c r="AA9"/>
  <c r="AC9"/>
  <c r="AE9"/>
  <c r="AG9"/>
  <c r="AI9"/>
  <c r="AL9"/>
  <c r="AN9"/>
  <c r="AP9"/>
  <c r="AR9"/>
  <c r="AT9"/>
  <c r="P10"/>
  <c r="R10"/>
  <c r="T10"/>
  <c r="V10"/>
  <c r="X10"/>
  <c r="AA10"/>
  <c r="AC10"/>
  <c r="AE10"/>
  <c r="AG10"/>
  <c r="AI10"/>
  <c r="AL10"/>
  <c r="AN10"/>
  <c r="AP10"/>
  <c r="AR10"/>
  <c r="AT10"/>
  <c r="P11"/>
  <c r="R11"/>
  <c r="T11"/>
  <c r="V11"/>
  <c r="X11"/>
  <c r="AA11"/>
  <c r="AC11"/>
  <c r="AE11"/>
  <c r="AG11"/>
  <c r="AI11"/>
  <c r="AL11"/>
  <c r="AN11"/>
  <c r="AP11"/>
  <c r="AR11"/>
  <c r="AT11"/>
  <c r="P12"/>
  <c r="R12"/>
  <c r="T12"/>
  <c r="V12"/>
  <c r="X12"/>
  <c r="AA12"/>
  <c r="AC12"/>
  <c r="AE12"/>
  <c r="AG12"/>
  <c r="AI12"/>
  <c r="AL12"/>
  <c r="AN12"/>
  <c r="AP12"/>
  <c r="AR12"/>
  <c r="AT12"/>
  <c r="P13"/>
  <c r="R13"/>
  <c r="T13"/>
  <c r="V13"/>
  <c r="X13"/>
  <c r="AA13"/>
  <c r="AC13"/>
  <c r="AE13"/>
  <c r="AG13"/>
  <c r="AI13"/>
  <c r="AL13"/>
  <c r="AN13"/>
  <c r="AP13"/>
  <c r="AR13"/>
  <c r="AT13"/>
  <c r="P14"/>
  <c r="R14"/>
  <c r="T14"/>
  <c r="V14"/>
  <c r="X14"/>
  <c r="AA14"/>
  <c r="AC14"/>
  <c r="AE14"/>
  <c r="AG14"/>
  <c r="AI14"/>
  <c r="AL14"/>
  <c r="AN14"/>
  <c r="AP14"/>
  <c r="AR14"/>
  <c r="AT14"/>
  <c r="P15"/>
  <c r="R15"/>
  <c r="T15"/>
  <c r="V15"/>
  <c r="X15"/>
  <c r="AA15"/>
  <c r="AC15"/>
  <c r="AE15"/>
  <c r="AG15"/>
  <c r="AI15"/>
  <c r="AL15"/>
  <c r="AN15"/>
  <c r="AP15"/>
  <c r="AR15"/>
  <c r="AT15"/>
  <c r="P16"/>
  <c r="R16"/>
  <c r="T16"/>
  <c r="V16"/>
  <c r="X16"/>
  <c r="AA16"/>
  <c r="AC16"/>
  <c r="AE16"/>
  <c r="AG16"/>
  <c r="AI16"/>
  <c r="AL16"/>
  <c r="AN16"/>
  <c r="AP16"/>
  <c r="AR16"/>
  <c r="AT16"/>
  <c r="P17"/>
  <c r="R17"/>
  <c r="T17"/>
  <c r="V17"/>
  <c r="X17"/>
  <c r="AA17"/>
  <c r="AC17"/>
  <c r="AE17"/>
  <c r="AG17"/>
  <c r="AI17"/>
  <c r="AL17"/>
  <c r="AN17"/>
  <c r="AP17"/>
  <c r="AR17"/>
  <c r="AT17"/>
  <c r="P18"/>
  <c r="R18"/>
  <c r="T18"/>
  <c r="V18"/>
  <c r="X18"/>
  <c r="AA18"/>
  <c r="AC18"/>
  <c r="AE18"/>
  <c r="AG18"/>
  <c r="AI18"/>
  <c r="AL18"/>
  <c r="AN18"/>
  <c r="AP18"/>
  <c r="AR18"/>
  <c r="AT18"/>
  <c r="O9"/>
  <c r="Q9"/>
  <c r="S9"/>
  <c r="U9"/>
  <c r="W9"/>
  <c r="Z9"/>
  <c r="AB9"/>
  <c r="AD9"/>
  <c r="AF9"/>
  <c r="AH9"/>
  <c r="AK9"/>
  <c r="AM9"/>
  <c r="AO9"/>
  <c r="AQ9"/>
  <c r="AS9"/>
  <c r="O10"/>
  <c r="Q10"/>
  <c r="S10"/>
  <c r="U10"/>
  <c r="W10"/>
  <c r="Z10"/>
  <c r="AB10"/>
  <c r="AD10"/>
  <c r="AF10"/>
  <c r="AH10"/>
  <c r="AK10"/>
  <c r="AM10"/>
  <c r="AO10"/>
  <c r="AQ10"/>
  <c r="AS10"/>
  <c r="O11"/>
  <c r="Q11"/>
  <c r="S11"/>
  <c r="U11"/>
  <c r="W11"/>
  <c r="Z11"/>
  <c r="AB11"/>
  <c r="AD11"/>
  <c r="AF11"/>
  <c r="AH11"/>
  <c r="AK11"/>
  <c r="AM11"/>
  <c r="AO11"/>
  <c r="AQ11"/>
  <c r="AS11"/>
  <c r="O12"/>
  <c r="Q12"/>
  <c r="S12"/>
  <c r="U12"/>
  <c r="W12"/>
  <c r="Z12"/>
  <c r="AB12"/>
  <c r="AD12"/>
  <c r="AF12"/>
  <c r="AH12"/>
  <c r="AK12"/>
  <c r="AM12"/>
  <c r="AO12"/>
  <c r="AQ12"/>
  <c r="AS12"/>
  <c r="O13"/>
  <c r="Q13"/>
  <c r="S13"/>
  <c r="U13"/>
  <c r="W13"/>
  <c r="Z13"/>
  <c r="AB13"/>
  <c r="AD13"/>
  <c r="AF13"/>
  <c r="AH13"/>
  <c r="AK13"/>
  <c r="AM13"/>
  <c r="AO13"/>
  <c r="AQ13"/>
  <c r="AS13"/>
  <c r="O14"/>
  <c r="Q14"/>
  <c r="S14"/>
  <c r="U14"/>
  <c r="W14"/>
  <c r="Z14"/>
  <c r="AB14"/>
  <c r="AD14"/>
  <c r="AF14"/>
  <c r="AH14"/>
  <c r="AK14"/>
  <c r="AM14"/>
  <c r="AO14"/>
  <c r="AQ14"/>
  <c r="AS14"/>
  <c r="O15"/>
  <c r="Q15"/>
  <c r="S15"/>
  <c r="U15"/>
  <c r="W15"/>
  <c r="Z15"/>
  <c r="AB15"/>
  <c r="AD15"/>
  <c r="AF15"/>
  <c r="AH15"/>
  <c r="AK15"/>
  <c r="AM15"/>
  <c r="AO15"/>
  <c r="AQ15"/>
  <c r="AS15"/>
  <c r="O16"/>
  <c r="Q16"/>
  <c r="S16"/>
  <c r="U16"/>
  <c r="W16"/>
  <c r="Z16"/>
  <c r="AB16"/>
  <c r="AD16"/>
  <c r="AF16"/>
  <c r="AH16"/>
  <c r="AK16"/>
  <c r="AM16"/>
  <c r="AO16"/>
  <c r="AQ16"/>
  <c r="AS16"/>
  <c r="O17"/>
  <c r="Q17"/>
  <c r="S17"/>
  <c r="U17"/>
  <c r="W17"/>
  <c r="Z17"/>
  <c r="AB17"/>
  <c r="AD17"/>
  <c r="AF17"/>
  <c r="AH17"/>
  <c r="AK17"/>
  <c r="AM17"/>
  <c r="AO17"/>
  <c r="AQ17"/>
  <c r="AS17"/>
  <c r="O18"/>
  <c r="Q18"/>
  <c r="S18"/>
  <c r="U18"/>
  <c r="W18"/>
  <c r="Z18"/>
  <c r="AB18"/>
  <c r="AD18"/>
  <c r="AF18"/>
  <c r="AH18"/>
  <c r="AK18"/>
  <c r="AM18"/>
  <c r="AO18"/>
  <c r="AQ18"/>
  <c r="H33" i="66"/>
  <c r="H34"/>
  <c r="N9" i="53"/>
  <c r="L9"/>
  <c r="J9"/>
  <c r="H9"/>
</calcChain>
</file>

<file path=xl/comments1.xml><?xml version="1.0" encoding="utf-8"?>
<comments xmlns="http://schemas.openxmlformats.org/spreadsheetml/2006/main">
  <authors>
    <author>a</author>
  </authors>
  <commentList>
    <comment ref="E5" authorId="0">
      <text>
        <r>
          <rPr>
            <sz val="8"/>
            <color indexed="81"/>
            <rFont val="Tahoma"/>
            <family val="2"/>
            <charset val="161"/>
          </rPr>
          <t xml:space="preserve">Αν ο παρονομαστής του κλάσματος είναι 2 ή 5, εύκολα μπορούμε να το μετατρέψουμε σε ισοδύναμο κλάσμα με παρονομαστή 10
</t>
        </r>
      </text>
    </comment>
    <comment ref="F5" authorId="0">
      <text>
        <r>
          <rPr>
            <sz val="8"/>
            <color indexed="81"/>
            <rFont val="Tahoma"/>
            <family val="2"/>
            <charset val="161"/>
          </rPr>
          <t xml:space="preserve">Αν ο παρονομαστής του κλάσματος είναι 4 ή 25 ή 20 ή 50,εύκολα μπορούμε να το μετατρέψουμε σε ισοδύναμο κλάσμα με παρονομαστή 100.
</t>
        </r>
      </text>
    </comment>
    <comment ref="H5" authorId="0">
      <text>
        <r>
          <rPr>
            <sz val="8"/>
            <color indexed="81"/>
            <rFont val="Tahoma"/>
            <family val="2"/>
          </rPr>
          <t xml:space="preserve">Αν ο παρονομαστής είναι 8, 125 κλπ μπορούμε να το μετατρέψουμε σε ισοδύναμο κλάσμα με παρονομαστή 1000.
</t>
        </r>
      </text>
    </comment>
    <comment ref="E6" authorId="0">
      <text>
        <r>
          <rPr>
            <b/>
            <sz val="8"/>
            <color indexed="81"/>
            <rFont val="Tahoma"/>
            <family val="2"/>
            <charset val="161"/>
          </rPr>
          <t>α) Αν ο παρονομαστής είναι 10, τότε ο δεκαδικός έχει ένα δεκαδικό ψηφίο</t>
        </r>
        <r>
          <rPr>
            <sz val="8"/>
            <color indexed="81"/>
            <rFont val="Tahoma"/>
            <family val="2"/>
            <charset val="161"/>
          </rPr>
          <t xml:space="preserve">
</t>
        </r>
        <r>
          <rPr>
            <b/>
            <sz val="8"/>
            <color indexed="81"/>
            <rFont val="Tahoma"/>
            <family val="2"/>
          </rPr>
          <t>β) Αν ο παρονομαστής είναι 100, τότε ο δεκαδικός έχει δύο δεκαδικά ψηφία.
γ) Αν ο παρονομαστής είναι 1000, τότε ο δεκαδικός έχει τρία δεκαδικά ψηφία.</t>
        </r>
      </text>
    </comment>
    <comment ref="D8" authorId="0">
      <text>
        <r>
          <rPr>
            <sz val="8"/>
            <color indexed="81"/>
            <rFont val="Tahoma"/>
            <family val="2"/>
            <charset val="161"/>
          </rPr>
          <t xml:space="preserve">Μετάτρεψε το κλάσμα σε ισοδύναμο κλάσμα με παρονομαστή 10 ή 100 ή 1000.
</t>
        </r>
      </text>
    </comment>
    <comment ref="K10" authorId="0">
      <text>
        <r>
          <rPr>
            <b/>
            <sz val="8"/>
            <color indexed="81"/>
            <rFont val="Tahoma"/>
            <family val="2"/>
            <charset val="161"/>
          </rPr>
          <t>Η μηχανή δέχεται κλάσματα που έχουν αξία μέχρι και 3 ακέραιες μονάδες.
Η μηχανή δεν μπορεί να σου δείξει ακριβώς κλάσματα με παρονομαστή 3 ή 6 ή 7 ή 9 ή άλλο παρονομαστή που δεν μπαίνει ακριβώς στο 100.</t>
        </r>
        <r>
          <rPr>
            <sz val="8"/>
            <color indexed="81"/>
            <rFont val="Tahoma"/>
            <family val="2"/>
            <charset val="161"/>
          </rPr>
          <t xml:space="preserve">
</t>
        </r>
      </text>
    </comment>
    <comment ref="D12" authorId="0">
      <text>
        <r>
          <rPr>
            <sz val="8"/>
            <color indexed="81"/>
            <rFont val="Tahoma"/>
            <family val="2"/>
            <charset val="161"/>
          </rPr>
          <t xml:space="preserve">Μετάτρεψε το κλάσμα σε ισοδύναμο κλάσμα με παρονομαστή 10 ή 100 ή 1000.
</t>
        </r>
      </text>
    </comment>
    <comment ref="D16" authorId="0">
      <text>
        <r>
          <rPr>
            <sz val="8"/>
            <color indexed="81"/>
            <rFont val="Tahoma"/>
            <family val="2"/>
            <charset val="161"/>
          </rPr>
          <t xml:space="preserve">Μετάτρεψε το κλάσμα σε ισοδύναμο κλάσμα με παρονομαστή 10 ή 100 ή 1000.
</t>
        </r>
      </text>
    </comment>
    <comment ref="D27" authorId="0">
      <text>
        <r>
          <rPr>
            <sz val="8"/>
            <color indexed="81"/>
            <rFont val="Tahoma"/>
            <family val="2"/>
            <charset val="161"/>
          </rPr>
          <t xml:space="preserve">Απλοποιήσαμε το κλάσμα.
</t>
        </r>
      </text>
    </comment>
    <comment ref="F27" authorId="0">
      <text>
        <r>
          <rPr>
            <sz val="8"/>
            <color indexed="81"/>
            <rFont val="Tahoma"/>
            <family val="2"/>
            <charset val="161"/>
          </rPr>
          <t xml:space="preserve">Μετατρέψαμε το κλάσμα σε ισοδύναμο κλάσμα με παρονομαστή 10 ή 100 ή 1000.
</t>
        </r>
      </text>
    </comment>
    <comment ref="I38" authorId="0">
      <text>
        <r>
          <rPr>
            <b/>
            <u/>
            <sz val="8"/>
            <color indexed="81"/>
            <rFont val="Tahoma"/>
            <family val="2"/>
          </rPr>
          <t>ΣΤΑΔΙΑ ΔΙΑΙΡΕΣΗΣ:</t>
        </r>
        <r>
          <rPr>
            <sz val="8"/>
            <color indexed="81"/>
            <rFont val="Tahoma"/>
            <family val="2"/>
            <charset val="161"/>
          </rPr>
          <t xml:space="preserve"> 
α)Το 2 δε χωρά στο 1. (Χωρά μηδέν φορές) </t>
        </r>
        <r>
          <rPr>
            <b/>
            <sz val="8"/>
            <color indexed="10"/>
            <rFont val="Tahoma"/>
            <family val="2"/>
          </rPr>
          <t>Γράφω μηδέν στο πηλίκο και βάζω κόμμα.</t>
        </r>
        <r>
          <rPr>
            <sz val="8"/>
            <color indexed="81"/>
            <rFont val="Tahoma"/>
            <family val="2"/>
            <charset val="161"/>
          </rPr>
          <t xml:space="preserve">
</t>
        </r>
        <r>
          <rPr>
            <b/>
            <sz val="8"/>
            <color indexed="12"/>
            <rFont val="Tahoma"/>
            <family val="2"/>
          </rPr>
          <t>β)</t>
        </r>
        <r>
          <rPr>
            <sz val="8"/>
            <color indexed="81"/>
            <rFont val="Tahoma"/>
            <family val="2"/>
            <charset val="161"/>
          </rPr>
          <t xml:space="preserve"> </t>
        </r>
        <r>
          <rPr>
            <b/>
            <sz val="8"/>
            <color indexed="12"/>
            <rFont val="Tahoma"/>
            <family val="2"/>
          </rPr>
          <t xml:space="preserve">Βάζω μηδέν πίσω από το 1 και αυτό έγινε 10
</t>
        </r>
        <r>
          <rPr>
            <b/>
            <sz val="8"/>
            <color indexed="60"/>
            <rFont val="Tahoma"/>
            <family val="2"/>
          </rPr>
          <t>γ)Το 2 στο 10 χωρά 5 φορές. Γράφω 5 στο πηλίκο και υπόλοιπο μηδέν.</t>
        </r>
      </text>
    </comment>
    <comment ref="J38" authorId="0">
      <text>
        <r>
          <rPr>
            <sz val="8"/>
            <color indexed="81"/>
            <rFont val="Tahoma"/>
            <family val="2"/>
          </rPr>
          <t>Υπόλοιπο</t>
        </r>
        <r>
          <rPr>
            <sz val="8"/>
            <color indexed="81"/>
            <rFont val="Tahoma"/>
            <family val="2"/>
            <charset val="161"/>
          </rPr>
          <t xml:space="preserve">
</t>
        </r>
      </text>
    </comment>
    <comment ref="M38" authorId="0">
      <text>
        <r>
          <rPr>
            <b/>
            <sz val="8"/>
            <color indexed="81"/>
            <rFont val="Tahoma"/>
            <family val="2"/>
            <charset val="161"/>
          </rPr>
          <t>Γράφουμε το κόμμα (ΥΠΟΔΙΑΣΤΟΛΗ)</t>
        </r>
        <r>
          <rPr>
            <sz val="8"/>
            <color indexed="81"/>
            <rFont val="Tahoma"/>
            <family val="2"/>
            <charset val="161"/>
          </rPr>
          <t xml:space="preserve">
</t>
        </r>
      </text>
    </comment>
    <comment ref="O38" authorId="0">
      <text>
        <r>
          <rPr>
            <b/>
            <sz val="8"/>
            <color indexed="81"/>
            <rFont val="Tahoma"/>
            <family val="2"/>
            <charset val="161"/>
          </rPr>
          <t>Πηλίκο</t>
        </r>
      </text>
    </comment>
    <comment ref="I47" authorId="0">
      <text>
        <r>
          <rPr>
            <b/>
            <u/>
            <sz val="8"/>
            <color indexed="81"/>
            <rFont val="Tahoma"/>
            <family val="2"/>
          </rPr>
          <t>ΣΤΑΔΙΑ ΔΙΑΙΡΕΣΗΣ:</t>
        </r>
        <r>
          <rPr>
            <sz val="8"/>
            <color indexed="81"/>
            <rFont val="Tahoma"/>
            <family val="2"/>
            <charset val="161"/>
          </rPr>
          <t xml:space="preserve"> 
</t>
        </r>
        <r>
          <rPr>
            <b/>
            <sz val="8"/>
            <color indexed="81"/>
            <rFont val="Tahoma"/>
            <family val="2"/>
          </rPr>
          <t xml:space="preserve">α)Το 3 δε χωρά στο 1. (Χωρά μηδέν φορές) </t>
        </r>
        <r>
          <rPr>
            <b/>
            <sz val="8"/>
            <color indexed="10"/>
            <rFont val="Tahoma"/>
            <family val="2"/>
          </rPr>
          <t>Γράφω μηδέν στο πηλίκο και βάζω κόμμα.</t>
        </r>
        <r>
          <rPr>
            <sz val="8"/>
            <color indexed="81"/>
            <rFont val="Tahoma"/>
            <family val="2"/>
            <charset val="161"/>
          </rPr>
          <t xml:space="preserve">
</t>
        </r>
        <r>
          <rPr>
            <b/>
            <sz val="8"/>
            <color indexed="12"/>
            <rFont val="Tahoma"/>
            <family val="2"/>
          </rPr>
          <t>β)</t>
        </r>
        <r>
          <rPr>
            <sz val="8"/>
            <color indexed="81"/>
            <rFont val="Tahoma"/>
            <family val="2"/>
            <charset val="161"/>
          </rPr>
          <t xml:space="preserve"> </t>
        </r>
        <r>
          <rPr>
            <b/>
            <sz val="8"/>
            <color indexed="12"/>
            <rFont val="Tahoma"/>
            <family val="2"/>
          </rPr>
          <t xml:space="preserve">Βάζω μηδέν πίσω από το 1 και αυτό έγινε 10. </t>
        </r>
        <r>
          <rPr>
            <b/>
            <sz val="8"/>
            <color indexed="81"/>
            <rFont val="Tahoma"/>
            <family val="2"/>
          </rPr>
          <t>Το 3</t>
        </r>
        <r>
          <rPr>
            <b/>
            <sz val="8"/>
            <color indexed="60"/>
            <rFont val="Tahoma"/>
            <family val="2"/>
          </rPr>
          <t xml:space="preserve"> </t>
        </r>
        <r>
          <rPr>
            <b/>
            <sz val="8"/>
            <color indexed="12"/>
            <rFont val="Tahoma"/>
            <family val="2"/>
          </rPr>
          <t>στο 10</t>
        </r>
        <r>
          <rPr>
            <b/>
            <sz val="8"/>
            <color indexed="60"/>
            <rFont val="Tahoma"/>
            <family val="2"/>
          </rPr>
          <t xml:space="preserve"> </t>
        </r>
        <r>
          <rPr>
            <b/>
            <sz val="8"/>
            <color indexed="12"/>
            <rFont val="Tahoma"/>
            <family val="2"/>
          </rPr>
          <t xml:space="preserve">χωρά 3 φορές. Γράφω 3 στο πηλίκο και </t>
        </r>
        <r>
          <rPr>
            <b/>
            <sz val="8"/>
            <color indexed="16"/>
            <rFont val="Tahoma"/>
            <family val="2"/>
          </rPr>
          <t xml:space="preserve">υπόλοιπο 1.
γ) Γράφω μηδέν πίσω από το 1 και γίνεται 10. Το 3 στο 10 χωρά 3 φορές και μένει </t>
        </r>
        <r>
          <rPr>
            <b/>
            <sz val="8"/>
            <color indexed="57"/>
            <rFont val="Tahoma"/>
            <family val="2"/>
          </rPr>
          <t xml:space="preserve">υπόλοιπο 1
δ) Βάζω μηδέν πίσω από το 1 και γίνεται 10. ΤΟ 3 στο 10 χωρά 3 φορές. και μένει υπόλοιπο </t>
        </r>
        <r>
          <rPr>
            <b/>
            <sz val="8"/>
            <color indexed="14"/>
            <rFont val="Tahoma"/>
            <family val="2"/>
          </rPr>
          <t>1</t>
        </r>
      </text>
    </comment>
    <comment ref="O47"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47" authorId="0">
      <text>
        <r>
          <rPr>
            <b/>
            <sz val="8"/>
            <color indexed="81"/>
            <rFont val="Tahoma"/>
            <family val="2"/>
            <charset val="161"/>
          </rPr>
          <t>Πηλίκο</t>
        </r>
        <r>
          <rPr>
            <sz val="8"/>
            <color indexed="81"/>
            <rFont val="Tahoma"/>
            <family val="2"/>
            <charset val="161"/>
          </rPr>
          <t xml:space="preserve">
</t>
        </r>
      </text>
    </comment>
    <comment ref="L49" authorId="0">
      <text>
        <r>
          <rPr>
            <sz val="8"/>
            <color indexed="81"/>
            <rFont val="Tahoma"/>
            <family val="2"/>
          </rPr>
          <t>Υπόλοιπο</t>
        </r>
        <r>
          <rPr>
            <sz val="8"/>
            <color indexed="81"/>
            <rFont val="Tahoma"/>
            <family val="2"/>
            <charset val="161"/>
          </rPr>
          <t xml:space="preserve">
</t>
        </r>
      </text>
    </comment>
    <comment ref="I56" authorId="0">
      <text>
        <r>
          <rPr>
            <b/>
            <u/>
            <sz val="8"/>
            <color indexed="81"/>
            <rFont val="Tahoma"/>
            <family val="2"/>
          </rPr>
          <t>ΣΤΑΔΙΑ ΔΙΑΙΡΕΣΗΣ:</t>
        </r>
        <r>
          <rPr>
            <sz val="8"/>
            <color indexed="81"/>
            <rFont val="Tahoma"/>
            <family val="2"/>
            <charset val="161"/>
          </rPr>
          <t xml:space="preserve"> 
</t>
        </r>
        <r>
          <rPr>
            <b/>
            <sz val="8"/>
            <color indexed="81"/>
            <rFont val="Tahoma"/>
            <family val="2"/>
          </rPr>
          <t xml:space="preserve">α)Το 7 δε χωρά στο 2. (Χωρά μηδέν φορές) </t>
        </r>
        <r>
          <rPr>
            <b/>
            <sz val="8"/>
            <color indexed="10"/>
            <rFont val="Tahoma"/>
            <family val="2"/>
          </rPr>
          <t>Γράφω μηδέν στο πηλίκο και βάζω κόμμα.</t>
        </r>
        <r>
          <rPr>
            <sz val="8"/>
            <color indexed="81"/>
            <rFont val="Tahoma"/>
            <family val="2"/>
            <charset val="161"/>
          </rPr>
          <t xml:space="preserve">
</t>
        </r>
        <r>
          <rPr>
            <b/>
            <sz val="8"/>
            <color indexed="12"/>
            <rFont val="Tahoma"/>
            <family val="2"/>
          </rPr>
          <t>β)</t>
        </r>
        <r>
          <rPr>
            <sz val="8"/>
            <color indexed="81"/>
            <rFont val="Tahoma"/>
            <family val="2"/>
            <charset val="161"/>
          </rPr>
          <t xml:space="preserve"> </t>
        </r>
        <r>
          <rPr>
            <b/>
            <sz val="8"/>
            <color indexed="12"/>
            <rFont val="Tahoma"/>
            <family val="2"/>
          </rPr>
          <t xml:space="preserve">Βάζω μηδέν πίσω από το 2 και αυτό έγινε 20. </t>
        </r>
        <r>
          <rPr>
            <b/>
            <sz val="8"/>
            <color indexed="81"/>
            <rFont val="Tahoma"/>
            <family val="2"/>
          </rPr>
          <t>Το 7</t>
        </r>
        <r>
          <rPr>
            <b/>
            <sz val="8"/>
            <color indexed="60"/>
            <rFont val="Tahoma"/>
            <family val="2"/>
          </rPr>
          <t xml:space="preserve"> </t>
        </r>
        <r>
          <rPr>
            <b/>
            <sz val="8"/>
            <color indexed="12"/>
            <rFont val="Tahoma"/>
            <family val="2"/>
          </rPr>
          <t>στο 20</t>
        </r>
        <r>
          <rPr>
            <b/>
            <sz val="8"/>
            <color indexed="60"/>
            <rFont val="Tahoma"/>
            <family val="2"/>
          </rPr>
          <t xml:space="preserve"> </t>
        </r>
        <r>
          <rPr>
            <b/>
            <sz val="8"/>
            <color indexed="12"/>
            <rFont val="Tahoma"/>
            <family val="2"/>
          </rPr>
          <t xml:space="preserve">χωρά 2 φορές. Γράφω 2 στο πηλίκο και </t>
        </r>
        <r>
          <rPr>
            <b/>
            <sz val="8"/>
            <color indexed="16"/>
            <rFont val="Tahoma"/>
            <family val="2"/>
          </rPr>
          <t xml:space="preserve">υπόλοιπο 6.
γ) Γράφω μηδέν πίσω από το 6 και γίνεται 60. </t>
        </r>
        <r>
          <rPr>
            <b/>
            <sz val="8"/>
            <color indexed="59"/>
            <rFont val="Tahoma"/>
            <family val="2"/>
          </rPr>
          <t>Το 7</t>
        </r>
        <r>
          <rPr>
            <b/>
            <sz val="8"/>
            <color indexed="16"/>
            <rFont val="Tahoma"/>
            <family val="2"/>
          </rPr>
          <t xml:space="preserve"> στο 60 χωρά 8 φορές και μένει </t>
        </r>
        <r>
          <rPr>
            <b/>
            <sz val="8"/>
            <color indexed="57"/>
            <rFont val="Tahoma"/>
            <family val="2"/>
          </rPr>
          <t xml:space="preserve">υπόλοιπο 4
δ) Βάζω μηδέν πίσω από το 4 και γίνεται 40. Το 7 στο 40 χωρά 5 φορές. και μένει υπόλοιπο </t>
        </r>
        <r>
          <rPr>
            <b/>
            <sz val="8"/>
            <color indexed="14"/>
            <rFont val="Tahoma"/>
            <family val="2"/>
          </rPr>
          <t>5.</t>
        </r>
      </text>
    </comment>
    <comment ref="O56"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56" authorId="0">
      <text>
        <r>
          <rPr>
            <b/>
            <sz val="8"/>
            <color indexed="81"/>
            <rFont val="Tahoma"/>
            <family val="2"/>
            <charset val="161"/>
          </rPr>
          <t>Πηλίκο</t>
        </r>
        <r>
          <rPr>
            <sz val="8"/>
            <color indexed="81"/>
            <rFont val="Tahoma"/>
            <family val="2"/>
            <charset val="161"/>
          </rPr>
          <t xml:space="preserve">
</t>
        </r>
      </text>
    </comment>
    <comment ref="L58" authorId="0">
      <text>
        <r>
          <rPr>
            <sz val="8"/>
            <color indexed="81"/>
            <rFont val="Tahoma"/>
            <family val="2"/>
          </rPr>
          <t>Υπόλοιπο</t>
        </r>
        <r>
          <rPr>
            <sz val="8"/>
            <color indexed="81"/>
            <rFont val="Tahoma"/>
            <family val="2"/>
            <charset val="161"/>
          </rPr>
          <t xml:space="preserve">
</t>
        </r>
      </text>
    </comment>
    <comment ref="D71" authorId="0">
      <text>
        <r>
          <rPr>
            <sz val="8"/>
            <color indexed="81"/>
            <rFont val="Tahoma"/>
            <family val="2"/>
            <charset val="161"/>
          </rPr>
          <t xml:space="preserve">Μετάτρεψε το κλάσμα σε ισοδύναμο κλάσμα με παρονομαστή 10 ή 100 ή 1000.
</t>
        </r>
      </text>
    </comment>
    <comment ref="I72"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72"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O73"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73" authorId="0">
      <text>
        <r>
          <rPr>
            <b/>
            <sz val="8"/>
            <color indexed="81"/>
            <rFont val="Tahoma"/>
            <family val="2"/>
            <charset val="161"/>
          </rPr>
          <t>Πηλίκο</t>
        </r>
        <r>
          <rPr>
            <sz val="8"/>
            <color indexed="81"/>
            <rFont val="Tahoma"/>
            <family val="2"/>
            <charset val="161"/>
          </rPr>
          <t xml:space="preserve">
</t>
        </r>
      </text>
    </comment>
    <comment ref="D75" authorId="0">
      <text>
        <r>
          <rPr>
            <sz val="8"/>
            <color indexed="81"/>
            <rFont val="Tahoma"/>
            <family val="2"/>
            <charset val="161"/>
          </rPr>
          <t xml:space="preserve">Μετάτρεψε το κλάσμα σε ισοδύναμο κλάσμα με παρονομαστή 10 ή 100 ή 1000.
</t>
        </r>
      </text>
    </comment>
    <comment ref="L75" authorId="0">
      <text>
        <r>
          <rPr>
            <sz val="8"/>
            <color indexed="81"/>
            <rFont val="Tahoma"/>
            <family val="2"/>
          </rPr>
          <t>Υπόλοιπο</t>
        </r>
        <r>
          <rPr>
            <sz val="8"/>
            <color indexed="81"/>
            <rFont val="Tahoma"/>
            <family val="2"/>
            <charset val="161"/>
          </rPr>
          <t xml:space="preserve">
</t>
        </r>
      </text>
    </comment>
    <comment ref="D79" authorId="0">
      <text>
        <r>
          <rPr>
            <sz val="8"/>
            <color indexed="81"/>
            <rFont val="Tahoma"/>
            <family val="2"/>
            <charset val="161"/>
          </rPr>
          <t xml:space="preserve">Μετάτρεψε το κλάσμα σε ισοδύναμο κλάσμα με παρονομαστή 10 ή 100 ή 1000.
</t>
        </r>
      </text>
    </comment>
    <comment ref="D83" authorId="0">
      <text>
        <r>
          <rPr>
            <sz val="8"/>
            <color indexed="81"/>
            <rFont val="Tahoma"/>
            <family val="2"/>
            <charset val="161"/>
          </rPr>
          <t xml:space="preserve">Μετάτρεψε το κλάσμα σε ισοδύναμο κλάσμα με παρονομαστή 10 ή 100 ή 1000.
</t>
        </r>
      </text>
    </comment>
    <comment ref="D87" authorId="0">
      <text>
        <r>
          <rPr>
            <sz val="8"/>
            <color indexed="81"/>
            <rFont val="Tahoma"/>
            <family val="2"/>
            <charset val="161"/>
          </rPr>
          <t xml:space="preserve">Μετάτρεψε το κλάσμα σε ισοδύναμο κλάσμα με παρονομαστή 10 ή 100 ή 1000.
</t>
        </r>
      </text>
    </comment>
    <comment ref="I90"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90"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D91" authorId="0">
      <text>
        <r>
          <rPr>
            <sz val="8"/>
            <color indexed="81"/>
            <rFont val="Tahoma"/>
            <family val="2"/>
            <charset val="161"/>
          </rPr>
          <t xml:space="preserve">Μετάτρεψε το κλάσμα σε ισοδύναμο κλάσμα με παρονομαστή 10 ή 100 ή 1000.
</t>
        </r>
      </text>
    </comment>
    <comment ref="O91"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91" authorId="0">
      <text>
        <r>
          <rPr>
            <b/>
            <sz val="8"/>
            <color indexed="81"/>
            <rFont val="Tahoma"/>
            <family val="2"/>
            <charset val="161"/>
          </rPr>
          <t>Πηλίκο</t>
        </r>
        <r>
          <rPr>
            <sz val="8"/>
            <color indexed="81"/>
            <rFont val="Tahoma"/>
            <family val="2"/>
            <charset val="161"/>
          </rPr>
          <t xml:space="preserve">
</t>
        </r>
      </text>
    </comment>
    <comment ref="L93" authorId="0">
      <text>
        <r>
          <rPr>
            <sz val="8"/>
            <color indexed="81"/>
            <rFont val="Tahoma"/>
            <family val="2"/>
          </rPr>
          <t>Υπόλοιπο</t>
        </r>
        <r>
          <rPr>
            <sz val="8"/>
            <color indexed="81"/>
            <rFont val="Tahoma"/>
            <family val="2"/>
            <charset val="161"/>
          </rPr>
          <t xml:space="preserve">
</t>
        </r>
      </text>
    </comment>
    <comment ref="D95" authorId="0">
      <text>
        <r>
          <rPr>
            <sz val="8"/>
            <color indexed="81"/>
            <rFont val="Tahoma"/>
            <family val="2"/>
            <charset val="161"/>
          </rPr>
          <t xml:space="preserve">Μετάτρεψε το κλάσμα σε ισοδύναμο κλάσμα με παρονομαστή 10 ή 100 ή 1000.
</t>
        </r>
      </text>
    </comment>
    <comment ref="D99" authorId="0">
      <text>
        <r>
          <rPr>
            <sz val="8"/>
            <color indexed="81"/>
            <rFont val="Tahoma"/>
            <family val="2"/>
            <charset val="161"/>
          </rPr>
          <t xml:space="preserve">Μετάτρεψε το κλάσμα σε ισοδύναμο κλάσμα με παρονομαστή 10 ή 100 ή 1000.
</t>
        </r>
      </text>
    </comment>
    <comment ref="D103" authorId="0">
      <text>
        <r>
          <rPr>
            <sz val="8"/>
            <color indexed="81"/>
            <rFont val="Tahoma"/>
            <family val="2"/>
            <charset val="161"/>
          </rPr>
          <t xml:space="preserve">Μετάτρεψε το κλάσμα σε ισοδύναμο κλάσμα με παρονομαστή 10 ή 100 ή 1000.
</t>
        </r>
      </text>
    </comment>
    <comment ref="D107" authorId="0">
      <text>
        <r>
          <rPr>
            <sz val="8"/>
            <color indexed="81"/>
            <rFont val="Tahoma"/>
            <family val="2"/>
            <charset val="161"/>
          </rPr>
          <t xml:space="preserve">Μετάτρεψε το κλάσμα σε ισοδύναμο κλάσμα με παρονομαστή 10 ή 100 ή 1000.
</t>
        </r>
      </text>
    </comment>
    <comment ref="I118"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18"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19" authorId="0">
      <text>
        <r>
          <rPr>
            <b/>
            <sz val="8"/>
            <color indexed="81"/>
            <rFont val="Tahoma"/>
            <family val="2"/>
            <charset val="161"/>
          </rPr>
          <t>Πόσα μένουν;</t>
        </r>
        <r>
          <rPr>
            <sz val="8"/>
            <color indexed="81"/>
            <rFont val="Tahoma"/>
            <family val="2"/>
            <charset val="161"/>
          </rPr>
          <t xml:space="preserve">
</t>
        </r>
      </text>
    </comment>
    <comment ref="K119" authorId="0">
      <text>
        <r>
          <rPr>
            <b/>
            <sz val="8"/>
            <color indexed="81"/>
            <rFont val="Tahoma"/>
            <family val="2"/>
            <charset val="161"/>
          </rPr>
          <t>Κάτω και το μηδέν.</t>
        </r>
        <r>
          <rPr>
            <sz val="8"/>
            <color indexed="81"/>
            <rFont val="Tahoma"/>
            <family val="2"/>
            <charset val="161"/>
          </rPr>
          <t xml:space="preserve">
</t>
        </r>
      </text>
    </comment>
    <comment ref="O119"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19" authorId="0">
      <text>
        <r>
          <rPr>
            <b/>
            <sz val="8"/>
            <color indexed="81"/>
            <rFont val="Tahoma"/>
            <family val="2"/>
            <charset val="161"/>
          </rPr>
          <t>Πηλίκο</t>
        </r>
        <r>
          <rPr>
            <sz val="8"/>
            <color indexed="81"/>
            <rFont val="Tahoma"/>
            <family val="2"/>
            <charset val="161"/>
          </rPr>
          <t xml:space="preserve">
</t>
        </r>
      </text>
    </comment>
    <comment ref="K120" authorId="0">
      <text>
        <r>
          <rPr>
            <b/>
            <sz val="8"/>
            <color indexed="81"/>
            <rFont val="Tahoma"/>
            <family val="2"/>
            <charset val="161"/>
          </rPr>
          <t>Πόσα μένουν;</t>
        </r>
        <r>
          <rPr>
            <sz val="8"/>
            <color indexed="81"/>
            <rFont val="Tahoma"/>
            <family val="2"/>
            <charset val="161"/>
          </rPr>
          <t xml:space="preserve">
</t>
        </r>
      </text>
    </comment>
    <comment ref="L120" authorId="0">
      <text>
        <r>
          <rPr>
            <b/>
            <sz val="8"/>
            <color indexed="81"/>
            <rFont val="Tahoma"/>
            <family val="2"/>
            <charset val="161"/>
          </rPr>
          <t>Κάτω και το μηδέν.</t>
        </r>
        <r>
          <rPr>
            <sz val="8"/>
            <color indexed="81"/>
            <rFont val="Tahoma"/>
            <family val="2"/>
            <charset val="161"/>
          </rPr>
          <t xml:space="preserve">
</t>
        </r>
      </text>
    </comment>
    <comment ref="L121" authorId="0">
      <text>
        <r>
          <rPr>
            <sz val="8"/>
            <color indexed="81"/>
            <rFont val="Tahoma"/>
            <family val="2"/>
          </rPr>
          <t>Υπόλοιπο</t>
        </r>
        <r>
          <rPr>
            <sz val="8"/>
            <color indexed="81"/>
            <rFont val="Tahoma"/>
            <family val="2"/>
            <charset val="161"/>
          </rPr>
          <t xml:space="preserve">
</t>
        </r>
      </text>
    </comment>
    <comment ref="I126"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26"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27" authorId="0">
      <text>
        <r>
          <rPr>
            <b/>
            <sz val="8"/>
            <color indexed="81"/>
            <rFont val="Tahoma"/>
            <family val="2"/>
            <charset val="161"/>
          </rPr>
          <t>Πόσα μένουν;</t>
        </r>
        <r>
          <rPr>
            <sz val="8"/>
            <color indexed="81"/>
            <rFont val="Tahoma"/>
            <family val="2"/>
            <charset val="161"/>
          </rPr>
          <t xml:space="preserve">
</t>
        </r>
      </text>
    </comment>
    <comment ref="K127" authorId="0">
      <text>
        <r>
          <rPr>
            <b/>
            <sz val="8"/>
            <color indexed="81"/>
            <rFont val="Tahoma"/>
            <family val="2"/>
            <charset val="161"/>
          </rPr>
          <t>Κάτω και το μηδέν.</t>
        </r>
        <r>
          <rPr>
            <sz val="8"/>
            <color indexed="81"/>
            <rFont val="Tahoma"/>
            <family val="2"/>
            <charset val="161"/>
          </rPr>
          <t xml:space="preserve">
</t>
        </r>
      </text>
    </comment>
    <comment ref="O127"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27" authorId="0">
      <text>
        <r>
          <rPr>
            <b/>
            <sz val="8"/>
            <color indexed="81"/>
            <rFont val="Tahoma"/>
            <family val="2"/>
            <charset val="161"/>
          </rPr>
          <t>Πηλίκο</t>
        </r>
        <r>
          <rPr>
            <sz val="8"/>
            <color indexed="81"/>
            <rFont val="Tahoma"/>
            <family val="2"/>
            <charset val="161"/>
          </rPr>
          <t xml:space="preserve">
</t>
        </r>
      </text>
    </comment>
    <comment ref="K128" authorId="0">
      <text>
        <r>
          <rPr>
            <b/>
            <sz val="8"/>
            <color indexed="81"/>
            <rFont val="Tahoma"/>
            <family val="2"/>
            <charset val="161"/>
          </rPr>
          <t>Πόσα μένουν;</t>
        </r>
        <r>
          <rPr>
            <sz val="8"/>
            <color indexed="81"/>
            <rFont val="Tahoma"/>
            <family val="2"/>
            <charset val="161"/>
          </rPr>
          <t xml:space="preserve">
</t>
        </r>
      </text>
    </comment>
    <comment ref="L128" authorId="0">
      <text>
        <r>
          <rPr>
            <b/>
            <sz val="8"/>
            <color indexed="81"/>
            <rFont val="Tahoma"/>
            <family val="2"/>
            <charset val="161"/>
          </rPr>
          <t>Κάτω και το μηδέν.</t>
        </r>
        <r>
          <rPr>
            <sz val="8"/>
            <color indexed="81"/>
            <rFont val="Tahoma"/>
            <family val="2"/>
            <charset val="161"/>
          </rPr>
          <t xml:space="preserve">
</t>
        </r>
      </text>
    </comment>
    <comment ref="L129" authorId="0">
      <text>
        <r>
          <rPr>
            <sz val="8"/>
            <color indexed="81"/>
            <rFont val="Tahoma"/>
            <family val="2"/>
          </rPr>
          <t>Υπόλοιπο</t>
        </r>
        <r>
          <rPr>
            <sz val="8"/>
            <color indexed="81"/>
            <rFont val="Tahoma"/>
            <family val="2"/>
            <charset val="161"/>
          </rPr>
          <t xml:space="preserve">
</t>
        </r>
      </text>
    </comment>
    <comment ref="I134"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34"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35" authorId="0">
      <text>
        <r>
          <rPr>
            <b/>
            <sz val="8"/>
            <color indexed="81"/>
            <rFont val="Tahoma"/>
            <family val="2"/>
            <charset val="161"/>
          </rPr>
          <t>Πόσα μένουν;</t>
        </r>
        <r>
          <rPr>
            <sz val="8"/>
            <color indexed="81"/>
            <rFont val="Tahoma"/>
            <family val="2"/>
            <charset val="161"/>
          </rPr>
          <t xml:space="preserve">
</t>
        </r>
      </text>
    </comment>
    <comment ref="K135" authorId="0">
      <text>
        <r>
          <rPr>
            <b/>
            <sz val="8"/>
            <color indexed="81"/>
            <rFont val="Tahoma"/>
            <family val="2"/>
            <charset val="161"/>
          </rPr>
          <t>Κάτω και το μηδέν.</t>
        </r>
        <r>
          <rPr>
            <sz val="8"/>
            <color indexed="81"/>
            <rFont val="Tahoma"/>
            <family val="2"/>
            <charset val="161"/>
          </rPr>
          <t xml:space="preserve">
</t>
        </r>
      </text>
    </comment>
    <comment ref="O135"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35" authorId="0">
      <text>
        <r>
          <rPr>
            <b/>
            <sz val="8"/>
            <color indexed="81"/>
            <rFont val="Tahoma"/>
            <family val="2"/>
            <charset val="161"/>
          </rPr>
          <t>Πηλίκο</t>
        </r>
        <r>
          <rPr>
            <sz val="8"/>
            <color indexed="81"/>
            <rFont val="Tahoma"/>
            <family val="2"/>
            <charset val="161"/>
          </rPr>
          <t xml:space="preserve">
</t>
        </r>
      </text>
    </comment>
    <comment ref="K136" authorId="0">
      <text>
        <r>
          <rPr>
            <b/>
            <sz val="8"/>
            <color indexed="81"/>
            <rFont val="Tahoma"/>
            <family val="2"/>
            <charset val="161"/>
          </rPr>
          <t>Πόσα μένουν;</t>
        </r>
        <r>
          <rPr>
            <sz val="8"/>
            <color indexed="81"/>
            <rFont val="Tahoma"/>
            <family val="2"/>
            <charset val="161"/>
          </rPr>
          <t xml:space="preserve">
</t>
        </r>
      </text>
    </comment>
    <comment ref="L136" authorId="0">
      <text>
        <r>
          <rPr>
            <b/>
            <sz val="8"/>
            <color indexed="81"/>
            <rFont val="Tahoma"/>
            <family val="2"/>
            <charset val="161"/>
          </rPr>
          <t>Κάτω και το μηδέν.</t>
        </r>
        <r>
          <rPr>
            <sz val="8"/>
            <color indexed="81"/>
            <rFont val="Tahoma"/>
            <family val="2"/>
            <charset val="161"/>
          </rPr>
          <t xml:space="preserve">
</t>
        </r>
      </text>
    </comment>
    <comment ref="L137" authorId="0">
      <text>
        <r>
          <rPr>
            <sz val="8"/>
            <color indexed="81"/>
            <rFont val="Tahoma"/>
            <family val="2"/>
          </rPr>
          <t>Υπόλοιπο</t>
        </r>
        <r>
          <rPr>
            <sz val="8"/>
            <color indexed="81"/>
            <rFont val="Tahoma"/>
            <family val="2"/>
            <charset val="161"/>
          </rPr>
          <t xml:space="preserve">
</t>
        </r>
      </text>
    </comment>
    <comment ref="I142"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42"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43" authorId="0">
      <text>
        <r>
          <rPr>
            <b/>
            <sz val="8"/>
            <color indexed="81"/>
            <rFont val="Tahoma"/>
            <family val="2"/>
            <charset val="161"/>
          </rPr>
          <t>Πόσα μένουν;</t>
        </r>
        <r>
          <rPr>
            <sz val="8"/>
            <color indexed="81"/>
            <rFont val="Tahoma"/>
            <family val="2"/>
            <charset val="161"/>
          </rPr>
          <t xml:space="preserve">
</t>
        </r>
      </text>
    </comment>
    <comment ref="K143" authorId="0">
      <text>
        <r>
          <rPr>
            <b/>
            <sz val="8"/>
            <color indexed="81"/>
            <rFont val="Tahoma"/>
            <family val="2"/>
            <charset val="161"/>
          </rPr>
          <t>Κάτω και το μηδέν.</t>
        </r>
        <r>
          <rPr>
            <sz val="8"/>
            <color indexed="81"/>
            <rFont val="Tahoma"/>
            <family val="2"/>
            <charset val="161"/>
          </rPr>
          <t xml:space="preserve">
</t>
        </r>
      </text>
    </comment>
    <comment ref="O143"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43" authorId="0">
      <text>
        <r>
          <rPr>
            <b/>
            <sz val="8"/>
            <color indexed="81"/>
            <rFont val="Tahoma"/>
            <family val="2"/>
            <charset val="161"/>
          </rPr>
          <t>Πηλίκο</t>
        </r>
        <r>
          <rPr>
            <sz val="8"/>
            <color indexed="81"/>
            <rFont val="Tahoma"/>
            <family val="2"/>
            <charset val="161"/>
          </rPr>
          <t xml:space="preserve">
</t>
        </r>
      </text>
    </comment>
    <comment ref="K144" authorId="0">
      <text>
        <r>
          <rPr>
            <b/>
            <sz val="8"/>
            <color indexed="81"/>
            <rFont val="Tahoma"/>
            <family val="2"/>
            <charset val="161"/>
          </rPr>
          <t>Πόσα μένουν;</t>
        </r>
        <r>
          <rPr>
            <sz val="8"/>
            <color indexed="81"/>
            <rFont val="Tahoma"/>
            <family val="2"/>
            <charset val="161"/>
          </rPr>
          <t xml:space="preserve">
</t>
        </r>
      </text>
    </comment>
    <comment ref="L144" authorId="0">
      <text>
        <r>
          <rPr>
            <b/>
            <sz val="8"/>
            <color indexed="81"/>
            <rFont val="Tahoma"/>
            <family val="2"/>
            <charset val="161"/>
          </rPr>
          <t>Κάτω και το μηδέν.</t>
        </r>
        <r>
          <rPr>
            <sz val="8"/>
            <color indexed="81"/>
            <rFont val="Tahoma"/>
            <family val="2"/>
            <charset val="161"/>
          </rPr>
          <t xml:space="preserve">
</t>
        </r>
      </text>
    </comment>
    <comment ref="L145" authorId="0">
      <text>
        <r>
          <rPr>
            <sz val="8"/>
            <color indexed="81"/>
            <rFont val="Tahoma"/>
            <family val="2"/>
          </rPr>
          <t>Υπόλοιπο</t>
        </r>
        <r>
          <rPr>
            <sz val="8"/>
            <color indexed="81"/>
            <rFont val="Tahoma"/>
            <family val="2"/>
            <charset val="161"/>
          </rPr>
          <t xml:space="preserve">
</t>
        </r>
      </text>
    </comment>
    <comment ref="I150"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50"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51" authorId="0">
      <text>
        <r>
          <rPr>
            <b/>
            <sz val="8"/>
            <color indexed="81"/>
            <rFont val="Tahoma"/>
            <family val="2"/>
            <charset val="161"/>
          </rPr>
          <t>Πόσα μένουν;</t>
        </r>
        <r>
          <rPr>
            <sz val="8"/>
            <color indexed="81"/>
            <rFont val="Tahoma"/>
            <family val="2"/>
            <charset val="161"/>
          </rPr>
          <t xml:space="preserve">
</t>
        </r>
      </text>
    </comment>
    <comment ref="K151" authorId="0">
      <text>
        <r>
          <rPr>
            <b/>
            <sz val="8"/>
            <color indexed="81"/>
            <rFont val="Tahoma"/>
            <family val="2"/>
            <charset val="161"/>
          </rPr>
          <t>Κάτω και το μηδέν.</t>
        </r>
        <r>
          <rPr>
            <sz val="8"/>
            <color indexed="81"/>
            <rFont val="Tahoma"/>
            <family val="2"/>
            <charset val="161"/>
          </rPr>
          <t xml:space="preserve">
</t>
        </r>
      </text>
    </comment>
    <comment ref="O151"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51" authorId="0">
      <text>
        <r>
          <rPr>
            <b/>
            <sz val="8"/>
            <color indexed="81"/>
            <rFont val="Tahoma"/>
            <family val="2"/>
            <charset val="161"/>
          </rPr>
          <t>Πηλίκο</t>
        </r>
        <r>
          <rPr>
            <sz val="8"/>
            <color indexed="81"/>
            <rFont val="Tahoma"/>
            <family val="2"/>
            <charset val="161"/>
          </rPr>
          <t xml:space="preserve">
</t>
        </r>
      </text>
    </comment>
    <comment ref="K152" authorId="0">
      <text>
        <r>
          <rPr>
            <b/>
            <sz val="8"/>
            <color indexed="81"/>
            <rFont val="Tahoma"/>
            <family val="2"/>
            <charset val="161"/>
          </rPr>
          <t>Πόσα μένουν;</t>
        </r>
        <r>
          <rPr>
            <sz val="8"/>
            <color indexed="81"/>
            <rFont val="Tahoma"/>
            <family val="2"/>
            <charset val="161"/>
          </rPr>
          <t xml:space="preserve">
</t>
        </r>
      </text>
    </comment>
    <comment ref="L152" authorId="0">
      <text>
        <r>
          <rPr>
            <b/>
            <sz val="8"/>
            <color indexed="81"/>
            <rFont val="Tahoma"/>
            <family val="2"/>
            <charset val="161"/>
          </rPr>
          <t>Κάτω και το μηδέν.</t>
        </r>
        <r>
          <rPr>
            <sz val="8"/>
            <color indexed="81"/>
            <rFont val="Tahoma"/>
            <family val="2"/>
            <charset val="161"/>
          </rPr>
          <t xml:space="preserve">
</t>
        </r>
      </text>
    </comment>
    <comment ref="L153" authorId="0">
      <text>
        <r>
          <rPr>
            <sz val="8"/>
            <color indexed="81"/>
            <rFont val="Tahoma"/>
            <family val="2"/>
          </rPr>
          <t>Υπόλοιπο</t>
        </r>
        <r>
          <rPr>
            <sz val="8"/>
            <color indexed="81"/>
            <rFont val="Tahoma"/>
            <family val="2"/>
            <charset val="161"/>
          </rPr>
          <t xml:space="preserve">
</t>
        </r>
      </text>
    </comment>
    <comment ref="I158"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58"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59" authorId="0">
      <text>
        <r>
          <rPr>
            <b/>
            <sz val="8"/>
            <color indexed="81"/>
            <rFont val="Tahoma"/>
            <family val="2"/>
            <charset val="161"/>
          </rPr>
          <t>Πόσα μένουν;</t>
        </r>
        <r>
          <rPr>
            <sz val="8"/>
            <color indexed="81"/>
            <rFont val="Tahoma"/>
            <family val="2"/>
            <charset val="161"/>
          </rPr>
          <t xml:space="preserve">
</t>
        </r>
      </text>
    </comment>
    <comment ref="K159" authorId="0">
      <text>
        <r>
          <rPr>
            <b/>
            <sz val="8"/>
            <color indexed="81"/>
            <rFont val="Tahoma"/>
            <family val="2"/>
            <charset val="161"/>
          </rPr>
          <t>Κάτω και το μηδέν.</t>
        </r>
        <r>
          <rPr>
            <sz val="8"/>
            <color indexed="81"/>
            <rFont val="Tahoma"/>
            <family val="2"/>
            <charset val="161"/>
          </rPr>
          <t xml:space="preserve">
</t>
        </r>
      </text>
    </comment>
    <comment ref="O159"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59" authorId="0">
      <text>
        <r>
          <rPr>
            <b/>
            <sz val="8"/>
            <color indexed="81"/>
            <rFont val="Tahoma"/>
            <family val="2"/>
            <charset val="161"/>
          </rPr>
          <t>Πηλίκο</t>
        </r>
        <r>
          <rPr>
            <sz val="8"/>
            <color indexed="81"/>
            <rFont val="Tahoma"/>
            <family val="2"/>
            <charset val="161"/>
          </rPr>
          <t xml:space="preserve">
</t>
        </r>
      </text>
    </comment>
    <comment ref="K160" authorId="0">
      <text>
        <r>
          <rPr>
            <b/>
            <sz val="8"/>
            <color indexed="81"/>
            <rFont val="Tahoma"/>
            <family val="2"/>
            <charset val="161"/>
          </rPr>
          <t>Πόσα μένουν;</t>
        </r>
        <r>
          <rPr>
            <sz val="8"/>
            <color indexed="81"/>
            <rFont val="Tahoma"/>
            <family val="2"/>
            <charset val="161"/>
          </rPr>
          <t xml:space="preserve">
</t>
        </r>
      </text>
    </comment>
    <comment ref="L160" authorId="0">
      <text>
        <r>
          <rPr>
            <b/>
            <sz val="8"/>
            <color indexed="81"/>
            <rFont val="Tahoma"/>
            <family val="2"/>
            <charset val="161"/>
          </rPr>
          <t>Κάτω και το μηδέν.</t>
        </r>
        <r>
          <rPr>
            <sz val="8"/>
            <color indexed="81"/>
            <rFont val="Tahoma"/>
            <family val="2"/>
            <charset val="161"/>
          </rPr>
          <t xml:space="preserve">
</t>
        </r>
      </text>
    </comment>
    <comment ref="L161" authorId="0">
      <text>
        <r>
          <rPr>
            <sz val="8"/>
            <color indexed="81"/>
            <rFont val="Tahoma"/>
            <family val="2"/>
          </rPr>
          <t>Υπόλοιπο</t>
        </r>
        <r>
          <rPr>
            <sz val="8"/>
            <color indexed="81"/>
            <rFont val="Tahoma"/>
            <family val="2"/>
            <charset val="161"/>
          </rPr>
          <t xml:space="preserve">
</t>
        </r>
      </text>
    </comment>
    <comment ref="I166"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66"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67" authorId="0">
      <text>
        <r>
          <rPr>
            <b/>
            <sz val="8"/>
            <color indexed="81"/>
            <rFont val="Tahoma"/>
            <family val="2"/>
            <charset val="161"/>
          </rPr>
          <t>Πόσα μένουν;</t>
        </r>
        <r>
          <rPr>
            <sz val="8"/>
            <color indexed="81"/>
            <rFont val="Tahoma"/>
            <family val="2"/>
            <charset val="161"/>
          </rPr>
          <t xml:space="preserve">
</t>
        </r>
      </text>
    </comment>
    <comment ref="K167" authorId="0">
      <text>
        <r>
          <rPr>
            <b/>
            <sz val="8"/>
            <color indexed="81"/>
            <rFont val="Tahoma"/>
            <family val="2"/>
            <charset val="161"/>
          </rPr>
          <t>Κάτω και το μηδέν.</t>
        </r>
        <r>
          <rPr>
            <sz val="8"/>
            <color indexed="81"/>
            <rFont val="Tahoma"/>
            <family val="2"/>
            <charset val="161"/>
          </rPr>
          <t xml:space="preserve">
</t>
        </r>
      </text>
    </comment>
    <comment ref="O167"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67" authorId="0">
      <text>
        <r>
          <rPr>
            <b/>
            <sz val="8"/>
            <color indexed="81"/>
            <rFont val="Tahoma"/>
            <family val="2"/>
            <charset val="161"/>
          </rPr>
          <t>Πηλίκο</t>
        </r>
        <r>
          <rPr>
            <sz val="8"/>
            <color indexed="81"/>
            <rFont val="Tahoma"/>
            <family val="2"/>
            <charset val="161"/>
          </rPr>
          <t xml:space="preserve">
</t>
        </r>
      </text>
    </comment>
    <comment ref="K168" authorId="0">
      <text>
        <r>
          <rPr>
            <b/>
            <sz val="8"/>
            <color indexed="81"/>
            <rFont val="Tahoma"/>
            <family val="2"/>
            <charset val="161"/>
          </rPr>
          <t>Πόσα μένουν;</t>
        </r>
        <r>
          <rPr>
            <sz val="8"/>
            <color indexed="81"/>
            <rFont val="Tahoma"/>
            <family val="2"/>
            <charset val="161"/>
          </rPr>
          <t xml:space="preserve">
</t>
        </r>
      </text>
    </comment>
    <comment ref="L168" authorId="0">
      <text>
        <r>
          <rPr>
            <b/>
            <sz val="8"/>
            <color indexed="81"/>
            <rFont val="Tahoma"/>
            <family val="2"/>
            <charset val="161"/>
          </rPr>
          <t>Κάτω και το μηδέν.</t>
        </r>
        <r>
          <rPr>
            <sz val="8"/>
            <color indexed="81"/>
            <rFont val="Tahoma"/>
            <family val="2"/>
            <charset val="161"/>
          </rPr>
          <t xml:space="preserve">
</t>
        </r>
      </text>
    </comment>
    <comment ref="L169" authorId="0">
      <text>
        <r>
          <rPr>
            <sz val="8"/>
            <color indexed="81"/>
            <rFont val="Tahoma"/>
            <family val="2"/>
          </rPr>
          <t>Υπόλοιπο</t>
        </r>
        <r>
          <rPr>
            <sz val="8"/>
            <color indexed="81"/>
            <rFont val="Tahoma"/>
            <family val="2"/>
            <charset val="161"/>
          </rPr>
          <t xml:space="preserve">
</t>
        </r>
      </text>
    </comment>
    <comment ref="I174"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74"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75" authorId="0">
      <text>
        <r>
          <rPr>
            <b/>
            <sz val="8"/>
            <color indexed="81"/>
            <rFont val="Tahoma"/>
            <family val="2"/>
            <charset val="161"/>
          </rPr>
          <t>Πόσα μένουν;</t>
        </r>
        <r>
          <rPr>
            <sz val="8"/>
            <color indexed="81"/>
            <rFont val="Tahoma"/>
            <family val="2"/>
            <charset val="161"/>
          </rPr>
          <t xml:space="preserve">
</t>
        </r>
      </text>
    </comment>
    <comment ref="K175" authorId="0">
      <text>
        <r>
          <rPr>
            <b/>
            <sz val="8"/>
            <color indexed="81"/>
            <rFont val="Tahoma"/>
            <family val="2"/>
            <charset val="161"/>
          </rPr>
          <t>Κάτω και το μηδέν.</t>
        </r>
        <r>
          <rPr>
            <sz val="8"/>
            <color indexed="81"/>
            <rFont val="Tahoma"/>
            <family val="2"/>
            <charset val="161"/>
          </rPr>
          <t xml:space="preserve">
</t>
        </r>
      </text>
    </comment>
    <comment ref="O175"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75" authorId="0">
      <text>
        <r>
          <rPr>
            <b/>
            <sz val="8"/>
            <color indexed="81"/>
            <rFont val="Tahoma"/>
            <family val="2"/>
            <charset val="161"/>
          </rPr>
          <t>Πηλίκο</t>
        </r>
        <r>
          <rPr>
            <sz val="8"/>
            <color indexed="81"/>
            <rFont val="Tahoma"/>
            <family val="2"/>
            <charset val="161"/>
          </rPr>
          <t xml:space="preserve">
</t>
        </r>
      </text>
    </comment>
    <comment ref="K176" authorId="0">
      <text>
        <r>
          <rPr>
            <b/>
            <sz val="8"/>
            <color indexed="81"/>
            <rFont val="Tahoma"/>
            <family val="2"/>
            <charset val="161"/>
          </rPr>
          <t>Πόσα μένουν;</t>
        </r>
        <r>
          <rPr>
            <sz val="8"/>
            <color indexed="81"/>
            <rFont val="Tahoma"/>
            <family val="2"/>
            <charset val="161"/>
          </rPr>
          <t xml:space="preserve">
</t>
        </r>
      </text>
    </comment>
    <comment ref="L176" authorId="0">
      <text>
        <r>
          <rPr>
            <b/>
            <sz val="8"/>
            <color indexed="81"/>
            <rFont val="Tahoma"/>
            <family val="2"/>
            <charset val="161"/>
          </rPr>
          <t>Κάτω και το μηδέν.</t>
        </r>
        <r>
          <rPr>
            <sz val="8"/>
            <color indexed="81"/>
            <rFont val="Tahoma"/>
            <family val="2"/>
            <charset val="161"/>
          </rPr>
          <t xml:space="preserve">
</t>
        </r>
      </text>
    </comment>
    <comment ref="L177" authorId="0">
      <text>
        <r>
          <rPr>
            <sz val="8"/>
            <color indexed="81"/>
            <rFont val="Tahoma"/>
            <family val="2"/>
          </rPr>
          <t>Υπόλοιπο</t>
        </r>
        <r>
          <rPr>
            <sz val="8"/>
            <color indexed="81"/>
            <rFont val="Tahoma"/>
            <family val="2"/>
            <charset val="161"/>
          </rPr>
          <t xml:space="preserve">
</t>
        </r>
      </text>
    </comment>
    <comment ref="I182"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82"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83" authorId="0">
      <text>
        <r>
          <rPr>
            <b/>
            <sz val="8"/>
            <color indexed="81"/>
            <rFont val="Tahoma"/>
            <family val="2"/>
            <charset val="161"/>
          </rPr>
          <t>Πόσα μένουν;</t>
        </r>
        <r>
          <rPr>
            <sz val="8"/>
            <color indexed="81"/>
            <rFont val="Tahoma"/>
            <family val="2"/>
            <charset val="161"/>
          </rPr>
          <t xml:space="preserve">
</t>
        </r>
      </text>
    </comment>
    <comment ref="K183" authorId="0">
      <text>
        <r>
          <rPr>
            <b/>
            <sz val="8"/>
            <color indexed="81"/>
            <rFont val="Tahoma"/>
            <family val="2"/>
            <charset val="161"/>
          </rPr>
          <t>Κάτω και το μηδέν.</t>
        </r>
        <r>
          <rPr>
            <sz val="8"/>
            <color indexed="81"/>
            <rFont val="Tahoma"/>
            <family val="2"/>
            <charset val="161"/>
          </rPr>
          <t xml:space="preserve">
</t>
        </r>
      </text>
    </comment>
    <comment ref="O183"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83" authorId="0">
      <text>
        <r>
          <rPr>
            <b/>
            <sz val="8"/>
            <color indexed="81"/>
            <rFont val="Tahoma"/>
            <family val="2"/>
            <charset val="161"/>
          </rPr>
          <t>Πηλίκο</t>
        </r>
        <r>
          <rPr>
            <sz val="8"/>
            <color indexed="81"/>
            <rFont val="Tahoma"/>
            <family val="2"/>
            <charset val="161"/>
          </rPr>
          <t xml:space="preserve">
</t>
        </r>
      </text>
    </comment>
    <comment ref="K184" authorId="0">
      <text>
        <r>
          <rPr>
            <b/>
            <sz val="8"/>
            <color indexed="81"/>
            <rFont val="Tahoma"/>
            <family val="2"/>
            <charset val="161"/>
          </rPr>
          <t>Πόσα μένουν;</t>
        </r>
        <r>
          <rPr>
            <sz val="8"/>
            <color indexed="81"/>
            <rFont val="Tahoma"/>
            <family val="2"/>
            <charset val="161"/>
          </rPr>
          <t xml:space="preserve">
</t>
        </r>
      </text>
    </comment>
    <comment ref="L184" authorId="0">
      <text>
        <r>
          <rPr>
            <b/>
            <sz val="8"/>
            <color indexed="81"/>
            <rFont val="Tahoma"/>
            <family val="2"/>
            <charset val="161"/>
          </rPr>
          <t>Κάτω και το μηδέν.</t>
        </r>
        <r>
          <rPr>
            <sz val="8"/>
            <color indexed="81"/>
            <rFont val="Tahoma"/>
            <family val="2"/>
            <charset val="161"/>
          </rPr>
          <t xml:space="preserve">
</t>
        </r>
      </text>
    </comment>
    <comment ref="L185" authorId="0">
      <text>
        <r>
          <rPr>
            <sz val="8"/>
            <color indexed="81"/>
            <rFont val="Tahoma"/>
            <family val="2"/>
          </rPr>
          <t>Υπόλοιπο</t>
        </r>
        <r>
          <rPr>
            <sz val="8"/>
            <color indexed="81"/>
            <rFont val="Tahoma"/>
            <family val="2"/>
            <charset val="161"/>
          </rPr>
          <t xml:space="preserve">
</t>
        </r>
      </text>
    </comment>
    <comment ref="H190"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190"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J191" authorId="0">
      <text>
        <r>
          <rPr>
            <b/>
            <sz val="8"/>
            <color indexed="81"/>
            <rFont val="Tahoma"/>
            <family val="2"/>
            <charset val="161"/>
          </rPr>
          <t>Πόσα μένουν;</t>
        </r>
        <r>
          <rPr>
            <sz val="8"/>
            <color indexed="81"/>
            <rFont val="Tahoma"/>
            <family val="2"/>
            <charset val="161"/>
          </rPr>
          <t xml:space="preserve">
</t>
        </r>
      </text>
    </comment>
    <comment ref="K191" authorId="0">
      <text>
        <r>
          <rPr>
            <b/>
            <sz val="8"/>
            <color indexed="81"/>
            <rFont val="Tahoma"/>
            <family val="2"/>
            <charset val="161"/>
          </rPr>
          <t>Κάτω και το μηδέν.</t>
        </r>
        <r>
          <rPr>
            <sz val="8"/>
            <color indexed="81"/>
            <rFont val="Tahoma"/>
            <family val="2"/>
            <charset val="161"/>
          </rPr>
          <t xml:space="preserve">
</t>
        </r>
      </text>
    </comment>
    <comment ref="O191"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191" authorId="0">
      <text>
        <r>
          <rPr>
            <b/>
            <sz val="8"/>
            <color indexed="81"/>
            <rFont val="Tahoma"/>
            <family val="2"/>
            <charset val="161"/>
          </rPr>
          <t>Πηλίκο</t>
        </r>
        <r>
          <rPr>
            <sz val="8"/>
            <color indexed="81"/>
            <rFont val="Tahoma"/>
            <family val="2"/>
            <charset val="161"/>
          </rPr>
          <t xml:space="preserve">
</t>
        </r>
      </text>
    </comment>
    <comment ref="K192" authorId="0">
      <text>
        <r>
          <rPr>
            <b/>
            <sz val="8"/>
            <color indexed="81"/>
            <rFont val="Tahoma"/>
            <family val="2"/>
            <charset val="161"/>
          </rPr>
          <t>Πόσα μένουν;</t>
        </r>
        <r>
          <rPr>
            <sz val="8"/>
            <color indexed="81"/>
            <rFont val="Tahoma"/>
            <family val="2"/>
            <charset val="161"/>
          </rPr>
          <t xml:space="preserve">
</t>
        </r>
      </text>
    </comment>
    <comment ref="L192" authorId="0">
      <text>
        <r>
          <rPr>
            <b/>
            <sz val="8"/>
            <color indexed="81"/>
            <rFont val="Tahoma"/>
            <family val="2"/>
            <charset val="161"/>
          </rPr>
          <t>Κάτω και το μηδέν.</t>
        </r>
        <r>
          <rPr>
            <sz val="8"/>
            <color indexed="81"/>
            <rFont val="Tahoma"/>
            <family val="2"/>
            <charset val="161"/>
          </rPr>
          <t xml:space="preserve">
</t>
        </r>
      </text>
    </comment>
    <comment ref="L193" authorId="0">
      <text>
        <r>
          <rPr>
            <sz val="8"/>
            <color indexed="81"/>
            <rFont val="Tahoma"/>
            <family val="2"/>
          </rPr>
          <t>Υπόλοιπο</t>
        </r>
        <r>
          <rPr>
            <sz val="8"/>
            <color indexed="81"/>
            <rFont val="Tahoma"/>
            <family val="2"/>
            <charset val="161"/>
          </rPr>
          <t xml:space="preserve">
</t>
        </r>
      </text>
    </comment>
    <comment ref="D208" authorId="0">
      <text>
        <r>
          <rPr>
            <sz val="8"/>
            <color indexed="81"/>
            <rFont val="Tahoma"/>
            <family val="2"/>
            <charset val="161"/>
          </rPr>
          <t xml:space="preserve">Απλοποιήσαμε το κλάσμα.
</t>
        </r>
      </text>
    </comment>
    <comment ref="F208" authorId="0">
      <text>
        <r>
          <rPr>
            <sz val="8"/>
            <color indexed="81"/>
            <rFont val="Tahoma"/>
            <family val="2"/>
            <charset val="161"/>
          </rPr>
          <t xml:space="preserve">Μετατρέψαμε το κλάσμα σε ισοδύναμο κλάσμα με παρονομαστή 10 ή 100 ή 1000.
</t>
        </r>
      </text>
    </comment>
    <comment ref="D213" authorId="0">
      <text>
        <r>
          <rPr>
            <sz val="8"/>
            <color indexed="81"/>
            <rFont val="Tahoma"/>
            <family val="2"/>
            <charset val="161"/>
          </rPr>
          <t xml:space="preserve">Απλοποίησε το κλάσμα.
</t>
        </r>
      </text>
    </comment>
    <comment ref="F213" authorId="0">
      <text>
        <r>
          <rPr>
            <sz val="8"/>
            <color indexed="81"/>
            <rFont val="Tahoma"/>
            <family val="2"/>
            <charset val="161"/>
          </rPr>
          <t xml:space="preserve">Μετάτρεψε το κλάσμα σε ισοδύναμο κλάσμα με παρονομαστή 10 ή 100 ή 1000.
</t>
        </r>
      </text>
    </comment>
    <comment ref="D217" authorId="0">
      <text>
        <r>
          <rPr>
            <sz val="8"/>
            <color indexed="81"/>
            <rFont val="Tahoma"/>
            <family val="2"/>
            <charset val="161"/>
          </rPr>
          <t xml:space="preserve">Απλοποίησε το κλάσμα.
</t>
        </r>
      </text>
    </comment>
    <comment ref="F217" authorId="0">
      <text>
        <r>
          <rPr>
            <sz val="8"/>
            <color indexed="81"/>
            <rFont val="Tahoma"/>
            <family val="2"/>
            <charset val="161"/>
          </rPr>
          <t xml:space="preserve">Μετάτρεψε το κλάσμα σε ισοδύναμο κλάσμα με παρονομαστή 10 ή 100 ή 1000.
</t>
        </r>
      </text>
    </comment>
    <comment ref="D221" authorId="0">
      <text>
        <r>
          <rPr>
            <sz val="8"/>
            <color indexed="81"/>
            <rFont val="Tahoma"/>
            <family val="2"/>
            <charset val="161"/>
          </rPr>
          <t xml:space="preserve">Απλοποίησε το κλάσμα.
</t>
        </r>
      </text>
    </comment>
    <comment ref="F221" authorId="0">
      <text>
        <r>
          <rPr>
            <sz val="8"/>
            <color indexed="81"/>
            <rFont val="Tahoma"/>
            <family val="2"/>
            <charset val="161"/>
          </rPr>
          <t xml:space="preserve">Μετάτρεψε το κλάσμα σε ισοδύναμο κλάσμα με παρονομαστή 10 ή 100 ή 1000.
</t>
        </r>
      </text>
    </comment>
    <comment ref="L221" authorId="0">
      <text>
        <r>
          <rPr>
            <b/>
            <sz val="8"/>
            <color indexed="81"/>
            <rFont val="Tahoma"/>
            <family val="2"/>
            <charset val="161"/>
          </rPr>
          <t>Βρες το Μ.Κ.Δ. του 9 και του 15 για να απλοποιήσεις</t>
        </r>
        <r>
          <rPr>
            <sz val="8"/>
            <color indexed="81"/>
            <rFont val="Tahoma"/>
            <family val="2"/>
            <charset val="161"/>
          </rPr>
          <t xml:space="preserve">
</t>
        </r>
      </text>
    </comment>
    <comment ref="D225" authorId="0">
      <text>
        <r>
          <rPr>
            <sz val="8"/>
            <color indexed="81"/>
            <rFont val="Tahoma"/>
            <family val="2"/>
            <charset val="161"/>
          </rPr>
          <t xml:space="preserve">Απλοποίησε το κλάσμα.
</t>
        </r>
      </text>
    </comment>
    <comment ref="F225" authorId="0">
      <text>
        <r>
          <rPr>
            <sz val="8"/>
            <color indexed="81"/>
            <rFont val="Tahoma"/>
            <family val="2"/>
            <charset val="161"/>
          </rPr>
          <t xml:space="preserve">Μετάτρεψε το κλάσμα σε ισοδύναμο κλάσμα με παρονομαστή 10 ή 100 ή 1000.
</t>
        </r>
      </text>
    </comment>
    <comment ref="D229" authorId="0">
      <text>
        <r>
          <rPr>
            <sz val="8"/>
            <color indexed="81"/>
            <rFont val="Tahoma"/>
            <family val="2"/>
            <charset val="161"/>
          </rPr>
          <t xml:space="preserve">Απλοποίησε το κλάσμα.
</t>
        </r>
      </text>
    </comment>
    <comment ref="F229" authorId="0">
      <text>
        <r>
          <rPr>
            <sz val="8"/>
            <color indexed="81"/>
            <rFont val="Tahoma"/>
            <family val="2"/>
            <charset val="161"/>
          </rPr>
          <t xml:space="preserve">Μετάτρεψε το κλάσμα σε ισοδύναμο κλάσμα με παρονομαστή 10 ή 100 ή 1000.
</t>
        </r>
      </text>
    </comment>
    <comment ref="D233" authorId="0">
      <text>
        <r>
          <rPr>
            <sz val="8"/>
            <color indexed="81"/>
            <rFont val="Tahoma"/>
            <family val="2"/>
            <charset val="161"/>
          </rPr>
          <t xml:space="preserve">Απλοποίησε το κλάσμα.
</t>
        </r>
      </text>
    </comment>
    <comment ref="F233" authorId="0">
      <text>
        <r>
          <rPr>
            <sz val="8"/>
            <color indexed="81"/>
            <rFont val="Tahoma"/>
            <family val="2"/>
            <charset val="161"/>
          </rPr>
          <t xml:space="preserve">Μετάτρεψε το κλάσμα σε ισοδύναμο κλάσμα με παρονομαστή 10 ή 100 ή 1000.
</t>
        </r>
      </text>
    </comment>
    <comment ref="L233" authorId="0">
      <text>
        <r>
          <rPr>
            <b/>
            <sz val="8"/>
            <color indexed="81"/>
            <rFont val="Tahoma"/>
            <family val="2"/>
            <charset val="161"/>
          </rPr>
          <t>Βρες το Μ.Κ.Δ. του 30 και του 24 για να απλοποιήσεις</t>
        </r>
        <r>
          <rPr>
            <sz val="8"/>
            <color indexed="81"/>
            <rFont val="Tahoma"/>
            <family val="2"/>
            <charset val="161"/>
          </rPr>
          <t xml:space="preserve">
</t>
        </r>
      </text>
    </comment>
    <comment ref="D237" authorId="0">
      <text>
        <r>
          <rPr>
            <sz val="8"/>
            <color indexed="81"/>
            <rFont val="Tahoma"/>
            <family val="2"/>
            <charset val="161"/>
          </rPr>
          <t xml:space="preserve">Απλοποίησε το κλάσμα.
</t>
        </r>
      </text>
    </comment>
    <comment ref="F237" authorId="0">
      <text>
        <r>
          <rPr>
            <sz val="8"/>
            <color indexed="81"/>
            <rFont val="Tahoma"/>
            <family val="2"/>
            <charset val="161"/>
          </rPr>
          <t xml:space="preserve">Μετάτρεψε το κλάσμα σε ισοδύναμο κλάσμα με παρονομαστή 10 ή 100 ή 1000.
</t>
        </r>
      </text>
    </comment>
    <comment ref="L237" authorId="0">
      <text>
        <r>
          <rPr>
            <b/>
            <sz val="8"/>
            <color indexed="81"/>
            <rFont val="Tahoma"/>
            <family val="2"/>
            <charset val="161"/>
          </rPr>
          <t>Βρες το Μ.Κ.Δ. του 21 και του 35 για να απλοποιήσεις</t>
        </r>
        <r>
          <rPr>
            <sz val="8"/>
            <color indexed="81"/>
            <rFont val="Tahoma"/>
            <family val="2"/>
            <charset val="161"/>
          </rPr>
          <t xml:space="preserve">
</t>
        </r>
      </text>
    </comment>
    <comment ref="D241" authorId="0">
      <text>
        <r>
          <rPr>
            <sz val="8"/>
            <color indexed="81"/>
            <rFont val="Tahoma"/>
            <family val="2"/>
            <charset val="161"/>
          </rPr>
          <t xml:space="preserve">Απλοποίησε το κλάσμα.
</t>
        </r>
      </text>
    </comment>
    <comment ref="F241" authorId="0">
      <text>
        <r>
          <rPr>
            <sz val="8"/>
            <color indexed="81"/>
            <rFont val="Tahoma"/>
            <family val="2"/>
            <charset val="161"/>
          </rPr>
          <t xml:space="preserve">Μετάτρεψε το κλάσμα σε ισοδύναμο κλάσμα με παρονομαστή 10 ή 100 ή 1000.
</t>
        </r>
      </text>
    </comment>
    <comment ref="D245" authorId="0">
      <text>
        <r>
          <rPr>
            <sz val="8"/>
            <color indexed="81"/>
            <rFont val="Tahoma"/>
            <family val="2"/>
            <charset val="161"/>
          </rPr>
          <t xml:space="preserve">Απλοποίησε το κλάσμα.
</t>
        </r>
      </text>
    </comment>
    <comment ref="F245" authorId="0">
      <text>
        <r>
          <rPr>
            <sz val="8"/>
            <color indexed="81"/>
            <rFont val="Tahoma"/>
            <family val="2"/>
            <charset val="161"/>
          </rPr>
          <t xml:space="preserve">Μετάτρεψε το κλάσμα σε ισοδύναμο κλάσμα με παρονομαστή 10 ή 100 ή 1000.
</t>
        </r>
      </text>
    </comment>
    <comment ref="L245" authorId="0">
      <text>
        <r>
          <rPr>
            <b/>
            <sz val="8"/>
            <color indexed="81"/>
            <rFont val="Tahoma"/>
            <family val="2"/>
            <charset val="161"/>
          </rPr>
          <t>Το 8 στο 1000 χωρά 125 φορές.</t>
        </r>
        <r>
          <rPr>
            <sz val="8"/>
            <color indexed="81"/>
            <rFont val="Tahoma"/>
            <family val="2"/>
            <charset val="161"/>
          </rPr>
          <t xml:space="preserve">
</t>
        </r>
      </text>
    </comment>
    <comment ref="D249" authorId="0">
      <text>
        <r>
          <rPr>
            <sz val="8"/>
            <color indexed="81"/>
            <rFont val="Tahoma"/>
            <family val="2"/>
            <charset val="161"/>
          </rPr>
          <t xml:space="preserve">Απλοποίησε το κλάσμα.
</t>
        </r>
      </text>
    </comment>
    <comment ref="F249" authorId="0">
      <text>
        <r>
          <rPr>
            <sz val="8"/>
            <color indexed="81"/>
            <rFont val="Tahoma"/>
            <family val="2"/>
            <charset val="161"/>
          </rPr>
          <t xml:space="preserve">Μετάτρεψε το κλάσμα σε ισοδύναμο κλάσμα με παρονομαστή 10 ή 100 ή 1000.
</t>
        </r>
      </text>
    </comment>
    <comment ref="L249" authorId="0">
      <text>
        <r>
          <rPr>
            <b/>
            <sz val="8"/>
            <color indexed="81"/>
            <rFont val="Tahoma"/>
            <family val="2"/>
            <charset val="161"/>
          </rPr>
          <t>Βρες το Μ.Κ.Δ. του 60και του 24 για να απλοποιήσεις</t>
        </r>
        <r>
          <rPr>
            <sz val="8"/>
            <color indexed="81"/>
            <rFont val="Tahoma"/>
            <family val="2"/>
            <charset val="161"/>
          </rPr>
          <t xml:space="preserve">
</t>
        </r>
      </text>
    </comment>
    <comment ref="D259" authorId="0">
      <text>
        <r>
          <rPr>
            <sz val="8"/>
            <color indexed="81"/>
            <rFont val="Tahoma"/>
            <family val="2"/>
            <charset val="161"/>
          </rPr>
          <t xml:space="preserve">Μετάτρεψε το κλάσμα σε ισοδύναμο κλάσμα με παρονομαστή 10 ή 100 ή 1000.
</t>
        </r>
      </text>
    </comment>
    <comment ref="I260"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260"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O261"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261" authorId="0">
      <text>
        <r>
          <rPr>
            <b/>
            <sz val="8"/>
            <color indexed="81"/>
            <rFont val="Tahoma"/>
            <family val="2"/>
            <charset val="161"/>
          </rPr>
          <t>Πηλίκο</t>
        </r>
        <r>
          <rPr>
            <sz val="8"/>
            <color indexed="81"/>
            <rFont val="Tahoma"/>
            <family val="2"/>
            <charset val="161"/>
          </rPr>
          <t xml:space="preserve">
</t>
        </r>
      </text>
    </comment>
    <comment ref="D263" authorId="0">
      <text>
        <r>
          <rPr>
            <sz val="8"/>
            <color indexed="81"/>
            <rFont val="Tahoma"/>
            <family val="2"/>
            <charset val="161"/>
          </rPr>
          <t xml:space="preserve">Μετάτρεψε το κλάσμα σε ισοδύναμο κλάσμα με παρονομαστή 10 ή 100 ή 1000.
</t>
        </r>
      </text>
    </comment>
    <comment ref="L263" authorId="0">
      <text>
        <r>
          <rPr>
            <sz val="8"/>
            <color indexed="81"/>
            <rFont val="Tahoma"/>
            <family val="2"/>
          </rPr>
          <t>Υπόλοιπο</t>
        </r>
        <r>
          <rPr>
            <sz val="8"/>
            <color indexed="81"/>
            <rFont val="Tahoma"/>
            <family val="2"/>
            <charset val="161"/>
          </rPr>
          <t xml:space="preserve">
</t>
        </r>
      </text>
    </comment>
    <comment ref="D267" authorId="0">
      <text>
        <r>
          <rPr>
            <sz val="8"/>
            <color indexed="81"/>
            <rFont val="Tahoma"/>
            <family val="2"/>
            <charset val="161"/>
          </rPr>
          <t xml:space="preserve">Μετάτρεψε το κλάσμα σε ισοδύναμο κλάσμα με παρονομαστή 10 ή 100 ή 1000.
</t>
        </r>
      </text>
    </comment>
    <comment ref="D271" authorId="0">
      <text>
        <r>
          <rPr>
            <sz val="8"/>
            <color indexed="81"/>
            <rFont val="Tahoma"/>
            <family val="2"/>
            <charset val="161"/>
          </rPr>
          <t xml:space="preserve">Μετάτρεψε το κλάσμα σε ισοδύναμο κλάσμα με παρονομαστή 10 ή 100 ή 1000.
</t>
        </r>
      </text>
    </comment>
    <comment ref="D275" authorId="0">
      <text>
        <r>
          <rPr>
            <sz val="8"/>
            <color indexed="81"/>
            <rFont val="Tahoma"/>
            <family val="2"/>
            <charset val="161"/>
          </rPr>
          <t xml:space="preserve">Μετάτρεψε το κλάσμα σε ισοδύναμο κλάσμα με παρονομαστή 10 ή 100 ή 1000.
</t>
        </r>
      </text>
    </comment>
    <comment ref="I278"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N278"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D279" authorId="0">
      <text>
        <r>
          <rPr>
            <sz val="8"/>
            <color indexed="81"/>
            <rFont val="Tahoma"/>
            <family val="2"/>
            <charset val="161"/>
          </rPr>
          <t xml:space="preserve">Μετάτρεψε το κλάσμα σε ισοδύναμο κλάσμα με παρονομαστή 10 ή 100 ή 1000.
</t>
        </r>
      </text>
    </comment>
    <comment ref="O279" authorId="0">
      <text>
        <r>
          <rPr>
            <b/>
            <sz val="8"/>
            <color indexed="81"/>
            <rFont val="Tahoma"/>
            <family val="2"/>
            <charset val="161"/>
          </rPr>
          <t>Γράφουμε το κόμμα (ΥΠΟΔΙΑΣΤΟΛΗ)</t>
        </r>
        <r>
          <rPr>
            <sz val="8"/>
            <color indexed="81"/>
            <rFont val="Tahoma"/>
            <family val="2"/>
            <charset val="161"/>
          </rPr>
          <t xml:space="preserve">
</t>
        </r>
      </text>
    </comment>
    <comment ref="R279" authorId="0">
      <text>
        <r>
          <rPr>
            <b/>
            <sz val="8"/>
            <color indexed="81"/>
            <rFont val="Tahoma"/>
            <family val="2"/>
            <charset val="161"/>
          </rPr>
          <t>Πηλίκο</t>
        </r>
        <r>
          <rPr>
            <sz val="8"/>
            <color indexed="81"/>
            <rFont val="Tahoma"/>
            <family val="2"/>
            <charset val="161"/>
          </rPr>
          <t xml:space="preserve">
</t>
        </r>
      </text>
    </comment>
    <comment ref="L281" authorId="0">
      <text>
        <r>
          <rPr>
            <sz val="8"/>
            <color indexed="81"/>
            <rFont val="Tahoma"/>
            <family val="2"/>
          </rPr>
          <t>Υπόλοιπο</t>
        </r>
        <r>
          <rPr>
            <sz val="8"/>
            <color indexed="81"/>
            <rFont val="Tahoma"/>
            <family val="2"/>
            <charset val="161"/>
          </rPr>
          <t xml:space="preserve">
</t>
        </r>
      </text>
    </comment>
    <comment ref="D283" authorId="0">
      <text>
        <r>
          <rPr>
            <sz val="8"/>
            <color indexed="81"/>
            <rFont val="Tahoma"/>
            <family val="2"/>
            <charset val="161"/>
          </rPr>
          <t xml:space="preserve">Μετάτρεψε το κλάσμα σε ισοδύναμο κλάσμα με παρονομαστή 10 ή 100 ή 1000.
</t>
        </r>
      </text>
    </comment>
    <comment ref="D287" authorId="0">
      <text>
        <r>
          <rPr>
            <sz val="8"/>
            <color indexed="81"/>
            <rFont val="Tahoma"/>
            <family val="2"/>
            <charset val="161"/>
          </rPr>
          <t xml:space="preserve">Μετάτρεψε το κλάσμα σε ισοδύναμο κλάσμα με παρονομαστή 10 ή 100 ή 1000.
</t>
        </r>
      </text>
    </comment>
    <comment ref="D291" authorId="0">
      <text>
        <r>
          <rPr>
            <sz val="8"/>
            <color indexed="81"/>
            <rFont val="Tahoma"/>
            <family val="2"/>
            <charset val="161"/>
          </rPr>
          <t xml:space="preserve">Μετάτρεψε το κλάσμα σε ισοδύναμο κλάσμα με παρονομαστή 10 ή 100 ή 1000.
</t>
        </r>
      </text>
    </comment>
    <comment ref="D295" authorId="0">
      <text>
        <r>
          <rPr>
            <sz val="8"/>
            <color indexed="81"/>
            <rFont val="Tahoma"/>
            <family val="2"/>
            <charset val="161"/>
          </rPr>
          <t xml:space="preserve">Μετάτρεψε το κλάσμα σε ισοδύναμο κλάσμα με παρονομαστή 10 ή 100 ή 1000.
</t>
        </r>
      </text>
    </comment>
  </commentList>
</comments>
</file>

<file path=xl/comments2.xml><?xml version="1.0" encoding="utf-8"?>
<comments xmlns="http://schemas.openxmlformats.org/spreadsheetml/2006/main">
  <authors>
    <author>a</author>
  </authors>
  <commentList>
    <comment ref="B15" authorId="0">
      <text>
        <r>
          <rPr>
            <b/>
            <sz val="8"/>
            <color indexed="81"/>
            <rFont val="Tahoma"/>
            <family val="2"/>
            <charset val="161"/>
          </rPr>
          <t>Γράψε τον αριθμητή του κλάσματος</t>
        </r>
      </text>
    </comment>
    <comment ref="B16" authorId="0">
      <text>
        <r>
          <rPr>
            <b/>
            <sz val="8"/>
            <color indexed="81"/>
            <rFont val="Tahoma"/>
            <family val="2"/>
            <charset val="161"/>
          </rPr>
          <t>Γράψε τον παρονομαστή του κλάσματος</t>
        </r>
      </text>
    </comment>
    <comment ref="B18" authorId="0">
      <text>
        <r>
          <rPr>
            <b/>
            <sz val="8"/>
            <color indexed="81"/>
            <rFont val="Tahoma"/>
            <family val="2"/>
            <charset val="161"/>
          </rPr>
          <t xml:space="preserve">Το κλάσμα που έγραψες αντιπροσωπεύεται στη </t>
        </r>
        <r>
          <rPr>
            <b/>
            <u/>
            <sz val="10"/>
            <color indexed="81"/>
            <rFont val="Tahoma"/>
            <family val="2"/>
          </rPr>
          <t>γαλάζια επιφάνεια</t>
        </r>
        <r>
          <rPr>
            <b/>
            <sz val="8"/>
            <color indexed="81"/>
            <rFont val="Tahoma"/>
            <family val="2"/>
            <charset val="161"/>
          </rPr>
          <t>, μόνο αν ο αριθμητής είναι μικρότερος από τον παρονομαστή.</t>
        </r>
        <r>
          <rPr>
            <sz val="8"/>
            <color indexed="81"/>
            <rFont val="Tahoma"/>
            <family val="2"/>
            <charset val="161"/>
          </rPr>
          <t xml:space="preserve">
</t>
        </r>
      </text>
    </comment>
    <comment ref="B73" authorId="0">
      <text>
        <r>
          <rPr>
            <b/>
            <sz val="8"/>
            <color indexed="81"/>
            <rFont val="Tahoma"/>
            <family val="2"/>
            <charset val="161"/>
          </rPr>
          <t>Συγγραφέας : Κύπρος Ιωάννου</t>
        </r>
        <r>
          <rPr>
            <sz val="8"/>
            <color indexed="81"/>
            <rFont val="Tahoma"/>
            <family val="2"/>
            <charset val="161"/>
          </rPr>
          <t xml:space="preserve">
</t>
        </r>
      </text>
    </comment>
  </commentList>
</comments>
</file>

<file path=xl/comments3.xml><?xml version="1.0" encoding="utf-8"?>
<comments xmlns="http://schemas.openxmlformats.org/spreadsheetml/2006/main">
  <authors>
    <author>a</author>
  </authors>
  <commentList>
    <comment ref="B10" authorId="0">
      <text>
        <r>
          <rPr>
            <b/>
            <sz val="8"/>
            <color indexed="81"/>
            <rFont val="Tahoma"/>
            <family val="2"/>
            <charset val="161"/>
          </rPr>
          <t>Η μηχανή δέχεται κλάσματα που έχουν αξία μέχρι και 3 ακέραιες μονάδες.
Η μηχανή δεν μπορεί να σου δείξει ακριβώς κλάσματα με παρονομαστή 3 ή 6 ή 7 ή 9 ή άλλο παρονομαστή που δεν μπαίνει ακριβώς στο 100.</t>
        </r>
        <r>
          <rPr>
            <sz val="8"/>
            <color indexed="81"/>
            <rFont val="Tahoma"/>
            <family val="2"/>
            <charset val="161"/>
          </rPr>
          <t xml:space="preserve">
</t>
        </r>
      </text>
    </comment>
  </commentList>
</comments>
</file>

<file path=xl/comments4.xml><?xml version="1.0" encoding="utf-8"?>
<comments xmlns="http://schemas.openxmlformats.org/spreadsheetml/2006/main">
  <authors>
    <author>a</author>
  </authors>
  <commentList>
    <comment ref="E5" authorId="0">
      <text>
        <r>
          <rPr>
            <sz val="8"/>
            <color indexed="81"/>
            <rFont val="Tahoma"/>
            <family val="2"/>
            <charset val="161"/>
          </rPr>
          <t xml:space="preserve">Αν ο παρονομαστής του κλάσματος είναι 2 ,4, 5, 10, 20,25, 50 εύκολα μπορούμε να το μετατρέψουμε σε ισοδύναμο κλάσμα με παρονομαστή 100.
</t>
        </r>
      </text>
    </comment>
    <comment ref="D8" authorId="0">
      <text>
        <r>
          <rPr>
            <sz val="8"/>
            <color indexed="81"/>
            <rFont val="Tahoma"/>
            <family val="2"/>
            <charset val="161"/>
          </rPr>
          <t xml:space="preserve">Μετάτρεψε το κλάσμα σε ισοδύναμο κλάσμα με παρονομαστή 100.
</t>
        </r>
      </text>
    </comment>
    <comment ref="K8" authorId="0">
      <text>
        <r>
          <rPr>
            <b/>
            <sz val="8"/>
            <color indexed="81"/>
            <rFont val="Tahoma"/>
            <family val="2"/>
            <charset val="161"/>
          </rPr>
          <t>Γράψε τον αριθμητή του κλάσματος</t>
        </r>
      </text>
    </comment>
    <comment ref="K9" authorId="0">
      <text>
        <r>
          <rPr>
            <b/>
            <sz val="8"/>
            <color indexed="81"/>
            <rFont val="Tahoma"/>
            <family val="2"/>
            <charset val="161"/>
          </rPr>
          <t>Γράψε τον παρονομαστή του κλάσματος</t>
        </r>
      </text>
    </comment>
    <comment ref="K11" authorId="0">
      <text>
        <r>
          <rPr>
            <b/>
            <sz val="8"/>
            <color indexed="81"/>
            <rFont val="Tahoma"/>
            <family val="2"/>
            <charset val="161"/>
          </rPr>
          <t xml:space="preserve">Το κλάσμα που έγραψες αντιπροσωπεύεται στη </t>
        </r>
        <r>
          <rPr>
            <b/>
            <u/>
            <sz val="10"/>
            <color indexed="81"/>
            <rFont val="Tahoma"/>
            <family val="2"/>
          </rPr>
          <t>γαλάζια επιφάνεια</t>
        </r>
        <r>
          <rPr>
            <b/>
            <sz val="8"/>
            <color indexed="81"/>
            <rFont val="Tahoma"/>
            <family val="2"/>
            <charset val="161"/>
          </rPr>
          <t>, μόνο αν ο αριθμητής είναι μικρότερος από τον παρονομαστή.</t>
        </r>
        <r>
          <rPr>
            <sz val="8"/>
            <color indexed="81"/>
            <rFont val="Tahoma"/>
            <family val="2"/>
            <charset val="161"/>
          </rPr>
          <t xml:space="preserve">
</t>
        </r>
      </text>
    </comment>
    <comment ref="D12" authorId="0">
      <text>
        <r>
          <rPr>
            <sz val="8"/>
            <color indexed="81"/>
            <rFont val="Tahoma"/>
            <family val="2"/>
            <charset val="161"/>
          </rPr>
          <t xml:space="preserve">Μετάτρεψε το κλάσμα σε ισοδύναμο κλάσμα με παρονομαστή 100 .
</t>
        </r>
      </text>
    </comment>
    <comment ref="D16" authorId="0">
      <text>
        <r>
          <rPr>
            <sz val="8"/>
            <color indexed="81"/>
            <rFont val="Tahoma"/>
            <family val="2"/>
            <charset val="161"/>
          </rPr>
          <t xml:space="preserve">Μετάτρεψε το κλάσμα σε ισοδύναμο κλάσμα με παρονομαστή 100.
</t>
        </r>
      </text>
    </comment>
    <comment ref="D26" authorId="0">
      <text>
        <r>
          <rPr>
            <sz val="8"/>
            <color indexed="81"/>
            <rFont val="Tahoma"/>
            <family val="2"/>
            <charset val="161"/>
          </rPr>
          <t xml:space="preserve">Απλοποιήσαμε το κλάσμα.
</t>
        </r>
      </text>
    </comment>
    <comment ref="F26" authorId="0">
      <text>
        <r>
          <rPr>
            <sz val="8"/>
            <color indexed="81"/>
            <rFont val="Tahoma"/>
            <family val="2"/>
            <charset val="161"/>
          </rPr>
          <t xml:space="preserve">Μετατρέψαμε το κλάσμα σε ισοδύναμο κλάσμα με παρονομαστή 100.
</t>
        </r>
      </text>
    </comment>
    <comment ref="F33" authorId="0">
      <text>
        <r>
          <rPr>
            <b/>
            <sz val="8"/>
            <color indexed="81"/>
            <rFont val="Tahoma"/>
            <family val="2"/>
          </rPr>
          <t xml:space="preserve">Για να μετατρέψουμε ένα δεκαδικό σε ποσοστό, τον πολλαπλασιάζουμε επί 100,ώστε να μετακινηθεί η υποδιαστολή δύο θέσεις δεξιά.
</t>
        </r>
      </text>
    </comment>
    <comment ref="J38" authorId="0">
      <text>
        <r>
          <rPr>
            <b/>
            <u/>
            <sz val="8"/>
            <color indexed="81"/>
            <rFont val="Tahoma"/>
            <family val="2"/>
          </rPr>
          <t>ΣΤΑΔΙΑ ΔΙΑΙΡΕΣΗΣ:</t>
        </r>
        <r>
          <rPr>
            <sz val="8"/>
            <color indexed="81"/>
            <rFont val="Tahoma"/>
            <family val="2"/>
            <charset val="161"/>
          </rPr>
          <t xml:space="preserve"> 
α)Το 2 δε χωρά στο 1. (Χωρά μηδέν φορές) </t>
        </r>
        <r>
          <rPr>
            <b/>
            <sz val="8"/>
            <color indexed="10"/>
            <rFont val="Tahoma"/>
            <family val="2"/>
          </rPr>
          <t>Γράφω μηδέν στο πηλίκο και βάζω κόμμα.</t>
        </r>
        <r>
          <rPr>
            <sz val="8"/>
            <color indexed="81"/>
            <rFont val="Tahoma"/>
            <family val="2"/>
            <charset val="161"/>
          </rPr>
          <t xml:space="preserve">
</t>
        </r>
        <r>
          <rPr>
            <b/>
            <sz val="8"/>
            <color indexed="12"/>
            <rFont val="Tahoma"/>
            <family val="2"/>
          </rPr>
          <t>β)</t>
        </r>
        <r>
          <rPr>
            <sz val="8"/>
            <color indexed="81"/>
            <rFont val="Tahoma"/>
            <family val="2"/>
            <charset val="161"/>
          </rPr>
          <t xml:space="preserve"> </t>
        </r>
        <r>
          <rPr>
            <b/>
            <sz val="8"/>
            <color indexed="12"/>
            <rFont val="Tahoma"/>
            <family val="2"/>
          </rPr>
          <t xml:space="preserve">Βάζω μηδέν πίσω από το 1 και αυτό έγινε 10
</t>
        </r>
        <r>
          <rPr>
            <b/>
            <sz val="8"/>
            <color indexed="60"/>
            <rFont val="Tahoma"/>
            <family val="2"/>
          </rPr>
          <t>γ)Το 2 στο 10 χωρά 5 φορές. Γράφω 5 στο πηλίκο και υπόλοιπο μηδέν.</t>
        </r>
      </text>
    </comment>
    <comment ref="K38" authorId="0">
      <text>
        <r>
          <rPr>
            <sz val="8"/>
            <color indexed="81"/>
            <rFont val="Tahoma"/>
            <family val="2"/>
          </rPr>
          <t>Υπόλοιπο</t>
        </r>
        <r>
          <rPr>
            <sz val="8"/>
            <color indexed="81"/>
            <rFont val="Tahoma"/>
            <family val="2"/>
            <charset val="161"/>
          </rPr>
          <t xml:space="preserve">
</t>
        </r>
      </text>
    </comment>
    <comment ref="N38" authorId="0">
      <text>
        <r>
          <rPr>
            <b/>
            <sz val="8"/>
            <color indexed="81"/>
            <rFont val="Tahoma"/>
            <family val="2"/>
            <charset val="161"/>
          </rPr>
          <t>Γράφουμε το κόμμα (ΥΠΟΔΙΑΣΤΟΛΗ)</t>
        </r>
        <r>
          <rPr>
            <sz val="8"/>
            <color indexed="81"/>
            <rFont val="Tahoma"/>
            <family val="2"/>
            <charset val="161"/>
          </rPr>
          <t xml:space="preserve">
</t>
        </r>
      </text>
    </comment>
    <comment ref="P38" authorId="0">
      <text>
        <r>
          <rPr>
            <b/>
            <sz val="8"/>
            <color indexed="81"/>
            <rFont val="Tahoma"/>
            <family val="2"/>
            <charset val="161"/>
          </rPr>
          <t>Πηλίκο</t>
        </r>
      </text>
    </comment>
    <comment ref="J47" authorId="0">
      <text>
        <r>
          <rPr>
            <b/>
            <u/>
            <sz val="8"/>
            <color indexed="81"/>
            <rFont val="Tahoma"/>
            <family val="2"/>
          </rPr>
          <t>ΣΤΑΔΙΑ ΔΙΑΙΡΕΣΗΣ:</t>
        </r>
        <r>
          <rPr>
            <sz val="8"/>
            <color indexed="81"/>
            <rFont val="Tahoma"/>
            <family val="2"/>
            <charset val="161"/>
          </rPr>
          <t xml:space="preserve"> 
</t>
        </r>
        <r>
          <rPr>
            <b/>
            <sz val="8"/>
            <color indexed="81"/>
            <rFont val="Tahoma"/>
            <family val="2"/>
          </rPr>
          <t xml:space="preserve">α)Το 3 δε χωρά στο 1. (Χωρά μηδέν φορές) </t>
        </r>
        <r>
          <rPr>
            <b/>
            <sz val="8"/>
            <color indexed="10"/>
            <rFont val="Tahoma"/>
            <family val="2"/>
          </rPr>
          <t>Γράφω μηδέν στο πηλίκο και βάζω κόμμα.</t>
        </r>
        <r>
          <rPr>
            <sz val="8"/>
            <color indexed="81"/>
            <rFont val="Tahoma"/>
            <family val="2"/>
            <charset val="161"/>
          </rPr>
          <t xml:space="preserve">
</t>
        </r>
        <r>
          <rPr>
            <b/>
            <sz val="8"/>
            <color indexed="12"/>
            <rFont val="Tahoma"/>
            <family val="2"/>
          </rPr>
          <t>β)</t>
        </r>
        <r>
          <rPr>
            <sz val="8"/>
            <color indexed="81"/>
            <rFont val="Tahoma"/>
            <family val="2"/>
            <charset val="161"/>
          </rPr>
          <t xml:space="preserve"> </t>
        </r>
        <r>
          <rPr>
            <b/>
            <sz val="8"/>
            <color indexed="12"/>
            <rFont val="Tahoma"/>
            <family val="2"/>
          </rPr>
          <t xml:space="preserve">Βάζω μηδέν πίσω από το 1 και αυτό έγινε 10. </t>
        </r>
        <r>
          <rPr>
            <b/>
            <sz val="8"/>
            <color indexed="81"/>
            <rFont val="Tahoma"/>
            <family val="2"/>
          </rPr>
          <t>Το 3</t>
        </r>
        <r>
          <rPr>
            <b/>
            <sz val="8"/>
            <color indexed="60"/>
            <rFont val="Tahoma"/>
            <family val="2"/>
          </rPr>
          <t xml:space="preserve"> </t>
        </r>
        <r>
          <rPr>
            <b/>
            <sz val="8"/>
            <color indexed="12"/>
            <rFont val="Tahoma"/>
            <family val="2"/>
          </rPr>
          <t>στο 10</t>
        </r>
        <r>
          <rPr>
            <b/>
            <sz val="8"/>
            <color indexed="60"/>
            <rFont val="Tahoma"/>
            <family val="2"/>
          </rPr>
          <t xml:space="preserve"> </t>
        </r>
        <r>
          <rPr>
            <b/>
            <sz val="8"/>
            <color indexed="12"/>
            <rFont val="Tahoma"/>
            <family val="2"/>
          </rPr>
          <t xml:space="preserve">χωρά 3 φορές. Γράφω 3 στο πηλίκο και </t>
        </r>
        <r>
          <rPr>
            <b/>
            <sz val="8"/>
            <color indexed="16"/>
            <rFont val="Tahoma"/>
            <family val="2"/>
          </rPr>
          <t xml:space="preserve">υπόλοιπο 1.
γ) Γράφω μηδέν πίσω από το 1 και γίνεται 10. Το 3 στο 10 χωρά 3 φορές και μένει </t>
        </r>
        <r>
          <rPr>
            <b/>
            <sz val="8"/>
            <color indexed="57"/>
            <rFont val="Tahoma"/>
            <family val="2"/>
          </rPr>
          <t xml:space="preserve">υπόλοιπο 1
δ) Βάζω μηδέν πίσω από το 1 και γίνεται 10. ΤΟ 3 στο 10 χωρά 3 φορές. και μένει υπόλοιπο </t>
        </r>
        <r>
          <rPr>
            <b/>
            <sz val="8"/>
            <color indexed="14"/>
            <rFont val="Tahoma"/>
            <family val="2"/>
          </rPr>
          <t>1</t>
        </r>
      </text>
    </comment>
    <comment ref="P47"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47" authorId="0">
      <text>
        <r>
          <rPr>
            <b/>
            <sz val="8"/>
            <color indexed="81"/>
            <rFont val="Tahoma"/>
            <family val="2"/>
            <charset val="161"/>
          </rPr>
          <t>Πηλίκο</t>
        </r>
        <r>
          <rPr>
            <sz val="8"/>
            <color indexed="81"/>
            <rFont val="Tahoma"/>
            <family val="2"/>
            <charset val="161"/>
          </rPr>
          <t xml:space="preserve">
</t>
        </r>
      </text>
    </comment>
    <comment ref="M49" authorId="0">
      <text>
        <r>
          <rPr>
            <sz val="8"/>
            <color indexed="81"/>
            <rFont val="Tahoma"/>
            <family val="2"/>
          </rPr>
          <t>Υπόλοιπο</t>
        </r>
        <r>
          <rPr>
            <sz val="8"/>
            <color indexed="81"/>
            <rFont val="Tahoma"/>
            <family val="2"/>
            <charset val="161"/>
          </rPr>
          <t xml:space="preserve">
</t>
        </r>
      </text>
    </comment>
    <comment ref="J56" authorId="0">
      <text>
        <r>
          <rPr>
            <b/>
            <u/>
            <sz val="8"/>
            <color indexed="81"/>
            <rFont val="Tahoma"/>
            <family val="2"/>
          </rPr>
          <t>ΣΤΑΔΙΑ ΔΙΑΙΡΕΣΗΣ:</t>
        </r>
        <r>
          <rPr>
            <sz val="8"/>
            <color indexed="81"/>
            <rFont val="Tahoma"/>
            <family val="2"/>
            <charset val="161"/>
          </rPr>
          <t xml:space="preserve"> 
</t>
        </r>
        <r>
          <rPr>
            <b/>
            <sz val="8"/>
            <color indexed="81"/>
            <rFont val="Tahoma"/>
            <family val="2"/>
          </rPr>
          <t xml:space="preserve">α)Το 7 δε χωρά στο 2. (Χωρά μηδέν φορές) </t>
        </r>
        <r>
          <rPr>
            <b/>
            <sz val="8"/>
            <color indexed="10"/>
            <rFont val="Tahoma"/>
            <family val="2"/>
          </rPr>
          <t>Γράφω μηδέν στο πηλίκο και βάζω κόμμα.</t>
        </r>
        <r>
          <rPr>
            <sz val="8"/>
            <color indexed="81"/>
            <rFont val="Tahoma"/>
            <family val="2"/>
            <charset val="161"/>
          </rPr>
          <t xml:space="preserve">
</t>
        </r>
        <r>
          <rPr>
            <b/>
            <sz val="8"/>
            <color indexed="12"/>
            <rFont val="Tahoma"/>
            <family val="2"/>
          </rPr>
          <t>β)</t>
        </r>
        <r>
          <rPr>
            <sz val="8"/>
            <color indexed="81"/>
            <rFont val="Tahoma"/>
            <family val="2"/>
            <charset val="161"/>
          </rPr>
          <t xml:space="preserve"> </t>
        </r>
        <r>
          <rPr>
            <b/>
            <sz val="8"/>
            <color indexed="12"/>
            <rFont val="Tahoma"/>
            <family val="2"/>
          </rPr>
          <t xml:space="preserve">Βάζω μηδέν πίσω από το 2 και αυτό έγινε 20. </t>
        </r>
        <r>
          <rPr>
            <b/>
            <sz val="8"/>
            <color indexed="81"/>
            <rFont val="Tahoma"/>
            <family val="2"/>
          </rPr>
          <t>Το 7</t>
        </r>
        <r>
          <rPr>
            <b/>
            <sz val="8"/>
            <color indexed="60"/>
            <rFont val="Tahoma"/>
            <family val="2"/>
          </rPr>
          <t xml:space="preserve"> </t>
        </r>
        <r>
          <rPr>
            <b/>
            <sz val="8"/>
            <color indexed="12"/>
            <rFont val="Tahoma"/>
            <family val="2"/>
          </rPr>
          <t>στο 20</t>
        </r>
        <r>
          <rPr>
            <b/>
            <sz val="8"/>
            <color indexed="60"/>
            <rFont val="Tahoma"/>
            <family val="2"/>
          </rPr>
          <t xml:space="preserve"> </t>
        </r>
        <r>
          <rPr>
            <b/>
            <sz val="8"/>
            <color indexed="12"/>
            <rFont val="Tahoma"/>
            <family val="2"/>
          </rPr>
          <t xml:space="preserve">χωρά 2 φορές. Γράφω 2 στο πηλίκο και </t>
        </r>
        <r>
          <rPr>
            <b/>
            <sz val="8"/>
            <color indexed="16"/>
            <rFont val="Tahoma"/>
            <family val="2"/>
          </rPr>
          <t xml:space="preserve">υπόλοιπο 6.
γ) Γράφω μηδέν πίσω από το 6 και γίνεται 60. </t>
        </r>
        <r>
          <rPr>
            <b/>
            <sz val="8"/>
            <color indexed="59"/>
            <rFont val="Tahoma"/>
            <family val="2"/>
          </rPr>
          <t>Το 7</t>
        </r>
        <r>
          <rPr>
            <b/>
            <sz val="8"/>
            <color indexed="16"/>
            <rFont val="Tahoma"/>
            <family val="2"/>
          </rPr>
          <t xml:space="preserve"> στο 60 χωρά 8 φορές και μένει </t>
        </r>
        <r>
          <rPr>
            <b/>
            <sz val="8"/>
            <color indexed="57"/>
            <rFont val="Tahoma"/>
            <family val="2"/>
          </rPr>
          <t xml:space="preserve">υπόλοιπο 4
δ) Βάζω μηδέν πίσω από το 4 και γίνεται 40. Το 7 στο 40 χωρά 5 φορές. και μένει υπόλοιπο </t>
        </r>
        <r>
          <rPr>
            <b/>
            <sz val="8"/>
            <color indexed="14"/>
            <rFont val="Tahoma"/>
            <family val="2"/>
          </rPr>
          <t>5.</t>
        </r>
      </text>
    </comment>
    <comment ref="P56"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56" authorId="0">
      <text>
        <r>
          <rPr>
            <b/>
            <sz val="8"/>
            <color indexed="81"/>
            <rFont val="Tahoma"/>
            <family val="2"/>
            <charset val="161"/>
          </rPr>
          <t>Πηλίκο</t>
        </r>
        <r>
          <rPr>
            <sz val="8"/>
            <color indexed="81"/>
            <rFont val="Tahoma"/>
            <family val="2"/>
            <charset val="161"/>
          </rPr>
          <t xml:space="preserve">
</t>
        </r>
      </text>
    </comment>
    <comment ref="M58" authorId="0">
      <text>
        <r>
          <rPr>
            <sz val="8"/>
            <color indexed="81"/>
            <rFont val="Tahoma"/>
            <family val="2"/>
          </rPr>
          <t>Υπόλοιπο</t>
        </r>
        <r>
          <rPr>
            <sz val="8"/>
            <color indexed="81"/>
            <rFont val="Tahoma"/>
            <family val="2"/>
            <charset val="161"/>
          </rPr>
          <t xml:space="preserve">
</t>
        </r>
      </text>
    </comment>
    <comment ref="D71" authorId="0">
      <text>
        <r>
          <rPr>
            <sz val="8"/>
            <color indexed="81"/>
            <rFont val="Tahoma"/>
            <family val="2"/>
            <charset val="161"/>
          </rPr>
          <t xml:space="preserve">Μετάτρεψε το κλάσμα σε ισοδύναμο κλάσμα με παρονομαστή 100.
</t>
        </r>
      </text>
    </comment>
    <comment ref="F71" authorId="0">
      <text>
        <r>
          <rPr>
            <b/>
            <sz val="8"/>
            <color indexed="81"/>
            <rFont val="Tahoma"/>
            <family val="2"/>
            <charset val="161"/>
          </rPr>
          <t>Γράφουμε το ποσοστό.</t>
        </r>
        <r>
          <rPr>
            <sz val="8"/>
            <color indexed="81"/>
            <rFont val="Tahoma"/>
            <family val="2"/>
            <charset val="161"/>
          </rPr>
          <t xml:space="preserve">
</t>
        </r>
      </text>
    </comment>
    <comment ref="J72"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72"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P73"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73" authorId="0">
      <text>
        <r>
          <rPr>
            <b/>
            <sz val="8"/>
            <color indexed="81"/>
            <rFont val="Tahoma"/>
            <family val="2"/>
            <charset val="161"/>
          </rPr>
          <t>Πηλίκο</t>
        </r>
        <r>
          <rPr>
            <sz val="8"/>
            <color indexed="81"/>
            <rFont val="Tahoma"/>
            <family val="2"/>
            <charset val="161"/>
          </rPr>
          <t xml:space="preserve">
</t>
        </r>
      </text>
    </comment>
    <comment ref="D75" authorId="0">
      <text>
        <r>
          <rPr>
            <sz val="8"/>
            <color indexed="81"/>
            <rFont val="Tahoma"/>
            <family val="2"/>
            <charset val="161"/>
          </rPr>
          <t xml:space="preserve">Μετάτρεψε το κλάσμα σε ισοδύναμο κλάσμα με παρονομαστή 100.
</t>
        </r>
      </text>
    </comment>
    <comment ref="F75" authorId="0">
      <text>
        <r>
          <rPr>
            <b/>
            <sz val="8"/>
            <color indexed="81"/>
            <rFont val="Tahoma"/>
            <family val="2"/>
            <charset val="161"/>
          </rPr>
          <t>Γράφουμε το ποσοστό.</t>
        </r>
        <r>
          <rPr>
            <sz val="8"/>
            <color indexed="81"/>
            <rFont val="Tahoma"/>
            <family val="2"/>
            <charset val="161"/>
          </rPr>
          <t xml:space="preserve">
</t>
        </r>
      </text>
    </comment>
    <comment ref="M75" authorId="0">
      <text>
        <r>
          <rPr>
            <sz val="8"/>
            <color indexed="81"/>
            <rFont val="Tahoma"/>
            <family val="2"/>
          </rPr>
          <t>Υπόλοιπο</t>
        </r>
        <r>
          <rPr>
            <sz val="8"/>
            <color indexed="81"/>
            <rFont val="Tahoma"/>
            <family val="2"/>
            <charset val="161"/>
          </rPr>
          <t xml:space="preserve">
</t>
        </r>
      </text>
    </comment>
    <comment ref="D79" authorId="0">
      <text>
        <r>
          <rPr>
            <sz val="8"/>
            <color indexed="81"/>
            <rFont val="Tahoma"/>
            <family val="2"/>
            <charset val="161"/>
          </rPr>
          <t xml:space="preserve">Μετάτρεψε το κλάσμα σε ισοδύναμο κλάσμα με παρονομαστή 100, πολλαπλασιάζοντας επί 12,5.
</t>
        </r>
      </text>
    </comment>
    <comment ref="F79" authorId="0">
      <text>
        <r>
          <rPr>
            <b/>
            <sz val="8"/>
            <color indexed="81"/>
            <rFont val="Tahoma"/>
            <family val="2"/>
            <charset val="161"/>
          </rPr>
          <t>Γράφουμε το ποσοστό.</t>
        </r>
        <r>
          <rPr>
            <sz val="8"/>
            <color indexed="81"/>
            <rFont val="Tahoma"/>
            <family val="2"/>
            <charset val="161"/>
          </rPr>
          <t xml:space="preserve">
</t>
        </r>
      </text>
    </comment>
    <comment ref="D83" authorId="0">
      <text>
        <r>
          <rPr>
            <sz val="8"/>
            <color indexed="81"/>
            <rFont val="Tahoma"/>
            <family val="2"/>
            <charset val="161"/>
          </rPr>
          <t xml:space="preserve">Μετάτρεψε το κλάσμα σε ισοδύναμο κλάσμα με παρονομαστή 100.
</t>
        </r>
      </text>
    </comment>
    <comment ref="F83" authorId="0">
      <text>
        <r>
          <rPr>
            <b/>
            <sz val="8"/>
            <color indexed="81"/>
            <rFont val="Tahoma"/>
            <family val="2"/>
            <charset val="161"/>
          </rPr>
          <t>Γράφουμε το ποσοστό.</t>
        </r>
        <r>
          <rPr>
            <sz val="8"/>
            <color indexed="81"/>
            <rFont val="Tahoma"/>
            <family val="2"/>
            <charset val="161"/>
          </rPr>
          <t xml:space="preserve">
</t>
        </r>
      </text>
    </comment>
    <comment ref="D87" authorId="0">
      <text>
        <r>
          <rPr>
            <sz val="8"/>
            <color indexed="81"/>
            <rFont val="Tahoma"/>
            <family val="2"/>
            <charset val="161"/>
          </rPr>
          <t xml:space="preserve">Μετάτρεψε το κλάσμα σε ισοδύναμο κλάσμα με παρονομαστή 100.
</t>
        </r>
      </text>
    </comment>
    <comment ref="F87" authorId="0">
      <text>
        <r>
          <rPr>
            <b/>
            <sz val="8"/>
            <color indexed="81"/>
            <rFont val="Tahoma"/>
            <family val="2"/>
            <charset val="161"/>
          </rPr>
          <t>Γράφουμε το ποσοστό.</t>
        </r>
        <r>
          <rPr>
            <sz val="8"/>
            <color indexed="81"/>
            <rFont val="Tahoma"/>
            <family val="2"/>
            <charset val="161"/>
          </rPr>
          <t xml:space="preserve">
</t>
        </r>
      </text>
    </comment>
    <comment ref="J90"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90"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D91" authorId="0">
      <text>
        <r>
          <rPr>
            <sz val="8"/>
            <color indexed="81"/>
            <rFont val="Tahoma"/>
            <family val="2"/>
            <charset val="161"/>
          </rPr>
          <t xml:space="preserve">Μετάτρεψε το κλάσμα σε ισοδύναμο κλάσμα με παρονομαστή 10.
</t>
        </r>
      </text>
    </comment>
    <comment ref="F91" authorId="0">
      <text>
        <r>
          <rPr>
            <b/>
            <sz val="8"/>
            <color indexed="81"/>
            <rFont val="Tahoma"/>
            <family val="2"/>
            <charset val="161"/>
          </rPr>
          <t>Γράφουμε το ποσοστό.</t>
        </r>
        <r>
          <rPr>
            <sz val="8"/>
            <color indexed="81"/>
            <rFont val="Tahoma"/>
            <family val="2"/>
            <charset val="161"/>
          </rPr>
          <t xml:space="preserve">
</t>
        </r>
      </text>
    </comment>
    <comment ref="P91"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91" authorId="0">
      <text>
        <r>
          <rPr>
            <b/>
            <sz val="8"/>
            <color indexed="81"/>
            <rFont val="Tahoma"/>
            <family val="2"/>
            <charset val="161"/>
          </rPr>
          <t>Πηλίκο</t>
        </r>
        <r>
          <rPr>
            <sz val="8"/>
            <color indexed="81"/>
            <rFont val="Tahoma"/>
            <family val="2"/>
            <charset val="161"/>
          </rPr>
          <t xml:space="preserve">
</t>
        </r>
      </text>
    </comment>
    <comment ref="M93" authorId="0">
      <text>
        <r>
          <rPr>
            <sz val="8"/>
            <color indexed="81"/>
            <rFont val="Tahoma"/>
            <family val="2"/>
          </rPr>
          <t>Υπόλοιπο</t>
        </r>
        <r>
          <rPr>
            <sz val="8"/>
            <color indexed="81"/>
            <rFont val="Tahoma"/>
            <family val="2"/>
            <charset val="161"/>
          </rPr>
          <t xml:space="preserve">
</t>
        </r>
      </text>
    </comment>
    <comment ref="D95" authorId="0">
      <text>
        <r>
          <rPr>
            <sz val="8"/>
            <color indexed="81"/>
            <rFont val="Tahoma"/>
            <family val="2"/>
            <charset val="161"/>
          </rPr>
          <t xml:space="preserve">Μετάτρεψε το κλάσμα σε ισοδύναμο κλάσμα με παρονομαστή 100.
</t>
        </r>
      </text>
    </comment>
    <comment ref="F95" authorId="0">
      <text>
        <r>
          <rPr>
            <b/>
            <sz val="8"/>
            <color indexed="81"/>
            <rFont val="Tahoma"/>
            <family val="2"/>
            <charset val="161"/>
          </rPr>
          <t>Γράφουμε το ποσοστό.</t>
        </r>
        <r>
          <rPr>
            <sz val="8"/>
            <color indexed="81"/>
            <rFont val="Tahoma"/>
            <family val="2"/>
            <charset val="161"/>
          </rPr>
          <t xml:space="preserve">
</t>
        </r>
      </text>
    </comment>
    <comment ref="D99" authorId="0">
      <text>
        <r>
          <rPr>
            <sz val="8"/>
            <color indexed="81"/>
            <rFont val="Tahoma"/>
            <family val="2"/>
            <charset val="161"/>
          </rPr>
          <t xml:space="preserve">Μετάτρεψε το κλάσμα σε ισοδύναμο κλάσμα με παρονομαστή 100.
</t>
        </r>
      </text>
    </comment>
    <comment ref="F99" authorId="0">
      <text>
        <r>
          <rPr>
            <b/>
            <sz val="8"/>
            <color indexed="81"/>
            <rFont val="Tahoma"/>
            <family val="2"/>
            <charset val="161"/>
          </rPr>
          <t>Γράφουμε το ποσοστό.</t>
        </r>
        <r>
          <rPr>
            <sz val="8"/>
            <color indexed="81"/>
            <rFont val="Tahoma"/>
            <family val="2"/>
            <charset val="161"/>
          </rPr>
          <t xml:space="preserve">
</t>
        </r>
      </text>
    </comment>
    <comment ref="D103" authorId="0">
      <text>
        <r>
          <rPr>
            <sz val="8"/>
            <color indexed="81"/>
            <rFont val="Tahoma"/>
            <family val="2"/>
            <charset val="161"/>
          </rPr>
          <t xml:space="preserve">Μετάτρεψε το κλάσμα σε ισοδύναμο κλάσμα με παρονομαστή 100.
</t>
        </r>
      </text>
    </comment>
    <comment ref="F103" authorId="0">
      <text>
        <r>
          <rPr>
            <b/>
            <sz val="8"/>
            <color indexed="81"/>
            <rFont val="Tahoma"/>
            <family val="2"/>
            <charset val="161"/>
          </rPr>
          <t>Γράφουμε το ποσοστό.</t>
        </r>
        <r>
          <rPr>
            <sz val="8"/>
            <color indexed="81"/>
            <rFont val="Tahoma"/>
            <family val="2"/>
            <charset val="161"/>
          </rPr>
          <t xml:space="preserve">
</t>
        </r>
      </text>
    </comment>
    <comment ref="D107" authorId="0">
      <text>
        <r>
          <rPr>
            <sz val="8"/>
            <color indexed="81"/>
            <rFont val="Tahoma"/>
            <family val="2"/>
            <charset val="161"/>
          </rPr>
          <t xml:space="preserve">Μετάτρεψε το κλάσμα σε ισοδύναμο κλάσμα με παρονομαστή 100.
</t>
        </r>
      </text>
    </comment>
    <comment ref="F107" authorId="0">
      <text>
        <r>
          <rPr>
            <b/>
            <sz val="8"/>
            <color indexed="81"/>
            <rFont val="Tahoma"/>
            <family val="2"/>
            <charset val="161"/>
          </rPr>
          <t>Γράφουμε το ποσοστό.</t>
        </r>
        <r>
          <rPr>
            <sz val="8"/>
            <color indexed="81"/>
            <rFont val="Tahoma"/>
            <family val="2"/>
            <charset val="161"/>
          </rPr>
          <t xml:space="preserve">
</t>
        </r>
      </text>
    </comment>
    <comment ref="J119"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19"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20" authorId="0">
      <text>
        <r>
          <rPr>
            <b/>
            <sz val="8"/>
            <color indexed="81"/>
            <rFont val="Tahoma"/>
            <family val="2"/>
            <charset val="161"/>
          </rPr>
          <t>Πόσα μένουν;</t>
        </r>
        <r>
          <rPr>
            <sz val="8"/>
            <color indexed="81"/>
            <rFont val="Tahoma"/>
            <family val="2"/>
            <charset val="161"/>
          </rPr>
          <t xml:space="preserve">
</t>
        </r>
      </text>
    </comment>
    <comment ref="L120" authorId="0">
      <text>
        <r>
          <rPr>
            <b/>
            <sz val="8"/>
            <color indexed="81"/>
            <rFont val="Tahoma"/>
            <family val="2"/>
            <charset val="161"/>
          </rPr>
          <t>Κάτω και το μηδέν.</t>
        </r>
        <r>
          <rPr>
            <sz val="8"/>
            <color indexed="81"/>
            <rFont val="Tahoma"/>
            <family val="2"/>
            <charset val="161"/>
          </rPr>
          <t xml:space="preserve">
</t>
        </r>
      </text>
    </comment>
    <comment ref="P120"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20" authorId="0">
      <text>
        <r>
          <rPr>
            <b/>
            <sz val="8"/>
            <color indexed="81"/>
            <rFont val="Tahoma"/>
            <family val="2"/>
            <charset val="161"/>
          </rPr>
          <t>Πηλίκο</t>
        </r>
        <r>
          <rPr>
            <sz val="8"/>
            <color indexed="81"/>
            <rFont val="Tahoma"/>
            <family val="2"/>
            <charset val="161"/>
          </rPr>
          <t xml:space="preserve">
</t>
        </r>
      </text>
    </comment>
    <comment ref="L121" authorId="0">
      <text>
        <r>
          <rPr>
            <b/>
            <sz val="8"/>
            <color indexed="81"/>
            <rFont val="Tahoma"/>
            <family val="2"/>
            <charset val="161"/>
          </rPr>
          <t>Πόσα μένουν;</t>
        </r>
        <r>
          <rPr>
            <sz val="8"/>
            <color indexed="81"/>
            <rFont val="Tahoma"/>
            <family val="2"/>
            <charset val="161"/>
          </rPr>
          <t xml:space="preserve">
</t>
        </r>
      </text>
    </comment>
    <comment ref="M121" authorId="0">
      <text>
        <r>
          <rPr>
            <b/>
            <sz val="8"/>
            <color indexed="81"/>
            <rFont val="Tahoma"/>
            <family val="2"/>
            <charset val="161"/>
          </rPr>
          <t>Κάτω και το μηδέν.</t>
        </r>
        <r>
          <rPr>
            <sz val="8"/>
            <color indexed="81"/>
            <rFont val="Tahoma"/>
            <family val="2"/>
            <charset val="161"/>
          </rPr>
          <t xml:space="preserve">
</t>
        </r>
      </text>
    </comment>
    <comment ref="M122" authorId="0">
      <text>
        <r>
          <rPr>
            <sz val="8"/>
            <color indexed="81"/>
            <rFont val="Tahoma"/>
            <family val="2"/>
          </rPr>
          <t>Υπόλοιπο</t>
        </r>
        <r>
          <rPr>
            <sz val="8"/>
            <color indexed="81"/>
            <rFont val="Tahoma"/>
            <family val="2"/>
            <charset val="161"/>
          </rPr>
          <t xml:space="preserve">
</t>
        </r>
      </text>
    </comment>
    <comment ref="J127"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27"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28" authorId="0">
      <text>
        <r>
          <rPr>
            <b/>
            <sz val="8"/>
            <color indexed="81"/>
            <rFont val="Tahoma"/>
            <family val="2"/>
            <charset val="161"/>
          </rPr>
          <t>Πόσα μένουν;</t>
        </r>
        <r>
          <rPr>
            <sz val="8"/>
            <color indexed="81"/>
            <rFont val="Tahoma"/>
            <family val="2"/>
            <charset val="161"/>
          </rPr>
          <t xml:space="preserve">
</t>
        </r>
      </text>
    </comment>
    <comment ref="L128" authorId="0">
      <text>
        <r>
          <rPr>
            <b/>
            <sz val="8"/>
            <color indexed="81"/>
            <rFont val="Tahoma"/>
            <family val="2"/>
            <charset val="161"/>
          </rPr>
          <t>Κάτω και το μηδέν.</t>
        </r>
        <r>
          <rPr>
            <sz val="8"/>
            <color indexed="81"/>
            <rFont val="Tahoma"/>
            <family val="2"/>
            <charset val="161"/>
          </rPr>
          <t xml:space="preserve">
</t>
        </r>
      </text>
    </comment>
    <comment ref="P128"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28" authorId="0">
      <text>
        <r>
          <rPr>
            <b/>
            <sz val="8"/>
            <color indexed="81"/>
            <rFont val="Tahoma"/>
            <family val="2"/>
            <charset val="161"/>
          </rPr>
          <t>Πηλίκο</t>
        </r>
        <r>
          <rPr>
            <sz val="8"/>
            <color indexed="81"/>
            <rFont val="Tahoma"/>
            <family val="2"/>
            <charset val="161"/>
          </rPr>
          <t xml:space="preserve">
</t>
        </r>
      </text>
    </comment>
    <comment ref="L129" authorId="0">
      <text>
        <r>
          <rPr>
            <b/>
            <sz val="8"/>
            <color indexed="81"/>
            <rFont val="Tahoma"/>
            <family val="2"/>
            <charset val="161"/>
          </rPr>
          <t>Πόσα μένουν;</t>
        </r>
        <r>
          <rPr>
            <sz val="8"/>
            <color indexed="81"/>
            <rFont val="Tahoma"/>
            <family val="2"/>
            <charset val="161"/>
          </rPr>
          <t xml:space="preserve">
</t>
        </r>
      </text>
    </comment>
    <comment ref="M129" authorId="0">
      <text>
        <r>
          <rPr>
            <b/>
            <sz val="8"/>
            <color indexed="81"/>
            <rFont val="Tahoma"/>
            <family val="2"/>
            <charset val="161"/>
          </rPr>
          <t>Κάτω και το μηδέν.</t>
        </r>
        <r>
          <rPr>
            <sz val="8"/>
            <color indexed="81"/>
            <rFont val="Tahoma"/>
            <family val="2"/>
            <charset val="161"/>
          </rPr>
          <t xml:space="preserve">
</t>
        </r>
      </text>
    </comment>
    <comment ref="M130" authorId="0">
      <text>
        <r>
          <rPr>
            <sz val="8"/>
            <color indexed="81"/>
            <rFont val="Tahoma"/>
            <family val="2"/>
          </rPr>
          <t>Υπόλοιπο</t>
        </r>
        <r>
          <rPr>
            <sz val="8"/>
            <color indexed="81"/>
            <rFont val="Tahoma"/>
            <family val="2"/>
            <charset val="161"/>
          </rPr>
          <t xml:space="preserve">
</t>
        </r>
      </text>
    </comment>
    <comment ref="J135"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35"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36" authorId="0">
      <text>
        <r>
          <rPr>
            <b/>
            <sz val="8"/>
            <color indexed="81"/>
            <rFont val="Tahoma"/>
            <family val="2"/>
            <charset val="161"/>
          </rPr>
          <t>Πόσα μένουν;</t>
        </r>
        <r>
          <rPr>
            <sz val="8"/>
            <color indexed="81"/>
            <rFont val="Tahoma"/>
            <family val="2"/>
            <charset val="161"/>
          </rPr>
          <t xml:space="preserve">
</t>
        </r>
      </text>
    </comment>
    <comment ref="L136" authorId="0">
      <text>
        <r>
          <rPr>
            <b/>
            <sz val="8"/>
            <color indexed="81"/>
            <rFont val="Tahoma"/>
            <family val="2"/>
            <charset val="161"/>
          </rPr>
          <t>Κάτω και το μηδέν.</t>
        </r>
        <r>
          <rPr>
            <sz val="8"/>
            <color indexed="81"/>
            <rFont val="Tahoma"/>
            <family val="2"/>
            <charset val="161"/>
          </rPr>
          <t xml:space="preserve">
</t>
        </r>
      </text>
    </comment>
    <comment ref="P136"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36" authorId="0">
      <text>
        <r>
          <rPr>
            <b/>
            <sz val="8"/>
            <color indexed="81"/>
            <rFont val="Tahoma"/>
            <family val="2"/>
            <charset val="161"/>
          </rPr>
          <t>Πηλίκο</t>
        </r>
        <r>
          <rPr>
            <sz val="8"/>
            <color indexed="81"/>
            <rFont val="Tahoma"/>
            <family val="2"/>
            <charset val="161"/>
          </rPr>
          <t xml:space="preserve">
</t>
        </r>
      </text>
    </comment>
    <comment ref="L137" authorId="0">
      <text>
        <r>
          <rPr>
            <b/>
            <sz val="8"/>
            <color indexed="81"/>
            <rFont val="Tahoma"/>
            <family val="2"/>
            <charset val="161"/>
          </rPr>
          <t>Πόσα μένουν;</t>
        </r>
        <r>
          <rPr>
            <sz val="8"/>
            <color indexed="81"/>
            <rFont val="Tahoma"/>
            <family val="2"/>
            <charset val="161"/>
          </rPr>
          <t xml:space="preserve">
</t>
        </r>
      </text>
    </comment>
    <comment ref="M137" authorId="0">
      <text>
        <r>
          <rPr>
            <b/>
            <sz val="8"/>
            <color indexed="81"/>
            <rFont val="Tahoma"/>
            <family val="2"/>
            <charset val="161"/>
          </rPr>
          <t>Κάτω και το μηδέν.</t>
        </r>
        <r>
          <rPr>
            <sz val="8"/>
            <color indexed="81"/>
            <rFont val="Tahoma"/>
            <family val="2"/>
            <charset val="161"/>
          </rPr>
          <t xml:space="preserve">
</t>
        </r>
      </text>
    </comment>
    <comment ref="M138" authorId="0">
      <text>
        <r>
          <rPr>
            <sz val="8"/>
            <color indexed="81"/>
            <rFont val="Tahoma"/>
            <family val="2"/>
          </rPr>
          <t>Υπόλοιπο</t>
        </r>
        <r>
          <rPr>
            <sz val="8"/>
            <color indexed="81"/>
            <rFont val="Tahoma"/>
            <family val="2"/>
            <charset val="161"/>
          </rPr>
          <t xml:space="preserve">
</t>
        </r>
      </text>
    </comment>
    <comment ref="J143"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43"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44" authorId="0">
      <text>
        <r>
          <rPr>
            <b/>
            <sz val="8"/>
            <color indexed="81"/>
            <rFont val="Tahoma"/>
            <family val="2"/>
            <charset val="161"/>
          </rPr>
          <t>Πόσα μένουν;</t>
        </r>
        <r>
          <rPr>
            <sz val="8"/>
            <color indexed="81"/>
            <rFont val="Tahoma"/>
            <family val="2"/>
            <charset val="161"/>
          </rPr>
          <t xml:space="preserve">
</t>
        </r>
      </text>
    </comment>
    <comment ref="L144" authorId="0">
      <text>
        <r>
          <rPr>
            <b/>
            <sz val="8"/>
            <color indexed="81"/>
            <rFont val="Tahoma"/>
            <family val="2"/>
            <charset val="161"/>
          </rPr>
          <t>Κάτω και το μηδέν.</t>
        </r>
        <r>
          <rPr>
            <sz val="8"/>
            <color indexed="81"/>
            <rFont val="Tahoma"/>
            <family val="2"/>
            <charset val="161"/>
          </rPr>
          <t xml:space="preserve">
</t>
        </r>
      </text>
    </comment>
    <comment ref="P144"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44" authorId="0">
      <text>
        <r>
          <rPr>
            <b/>
            <sz val="8"/>
            <color indexed="81"/>
            <rFont val="Tahoma"/>
            <family val="2"/>
            <charset val="161"/>
          </rPr>
          <t>Πηλίκο</t>
        </r>
        <r>
          <rPr>
            <sz val="8"/>
            <color indexed="81"/>
            <rFont val="Tahoma"/>
            <family val="2"/>
            <charset val="161"/>
          </rPr>
          <t xml:space="preserve">
</t>
        </r>
      </text>
    </comment>
    <comment ref="L145" authorId="0">
      <text>
        <r>
          <rPr>
            <b/>
            <sz val="8"/>
            <color indexed="81"/>
            <rFont val="Tahoma"/>
            <family val="2"/>
            <charset val="161"/>
          </rPr>
          <t>Πόσα μένουν;</t>
        </r>
        <r>
          <rPr>
            <sz val="8"/>
            <color indexed="81"/>
            <rFont val="Tahoma"/>
            <family val="2"/>
            <charset val="161"/>
          </rPr>
          <t xml:space="preserve">
</t>
        </r>
      </text>
    </comment>
    <comment ref="M145" authorId="0">
      <text>
        <r>
          <rPr>
            <b/>
            <sz val="8"/>
            <color indexed="81"/>
            <rFont val="Tahoma"/>
            <family val="2"/>
            <charset val="161"/>
          </rPr>
          <t>Κάτω και το μηδέν.</t>
        </r>
        <r>
          <rPr>
            <sz val="8"/>
            <color indexed="81"/>
            <rFont val="Tahoma"/>
            <family val="2"/>
            <charset val="161"/>
          </rPr>
          <t xml:space="preserve">
</t>
        </r>
      </text>
    </comment>
    <comment ref="M146" authorId="0">
      <text>
        <r>
          <rPr>
            <sz val="8"/>
            <color indexed="81"/>
            <rFont val="Tahoma"/>
            <family val="2"/>
          </rPr>
          <t>Υπόλοιπο</t>
        </r>
        <r>
          <rPr>
            <sz val="8"/>
            <color indexed="81"/>
            <rFont val="Tahoma"/>
            <family val="2"/>
            <charset val="161"/>
          </rPr>
          <t xml:space="preserve">
</t>
        </r>
      </text>
    </comment>
    <comment ref="J151"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51"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52" authorId="0">
      <text>
        <r>
          <rPr>
            <b/>
            <sz val="8"/>
            <color indexed="81"/>
            <rFont val="Tahoma"/>
            <family val="2"/>
            <charset val="161"/>
          </rPr>
          <t>Πόσα μένουν;</t>
        </r>
        <r>
          <rPr>
            <sz val="8"/>
            <color indexed="81"/>
            <rFont val="Tahoma"/>
            <family val="2"/>
            <charset val="161"/>
          </rPr>
          <t xml:space="preserve">
</t>
        </r>
      </text>
    </comment>
    <comment ref="L152" authorId="0">
      <text>
        <r>
          <rPr>
            <b/>
            <sz val="8"/>
            <color indexed="81"/>
            <rFont val="Tahoma"/>
            <family val="2"/>
            <charset val="161"/>
          </rPr>
          <t>Κάτω και το μηδέν.</t>
        </r>
        <r>
          <rPr>
            <sz val="8"/>
            <color indexed="81"/>
            <rFont val="Tahoma"/>
            <family val="2"/>
            <charset val="161"/>
          </rPr>
          <t xml:space="preserve">
</t>
        </r>
      </text>
    </comment>
    <comment ref="P152"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52" authorId="0">
      <text>
        <r>
          <rPr>
            <b/>
            <sz val="8"/>
            <color indexed="81"/>
            <rFont val="Tahoma"/>
            <family val="2"/>
            <charset val="161"/>
          </rPr>
          <t>Πηλίκο</t>
        </r>
        <r>
          <rPr>
            <sz val="8"/>
            <color indexed="81"/>
            <rFont val="Tahoma"/>
            <family val="2"/>
            <charset val="161"/>
          </rPr>
          <t xml:space="preserve">
</t>
        </r>
      </text>
    </comment>
    <comment ref="L153" authorId="0">
      <text>
        <r>
          <rPr>
            <b/>
            <sz val="8"/>
            <color indexed="81"/>
            <rFont val="Tahoma"/>
            <family val="2"/>
            <charset val="161"/>
          </rPr>
          <t>Πόσα μένουν;</t>
        </r>
        <r>
          <rPr>
            <sz val="8"/>
            <color indexed="81"/>
            <rFont val="Tahoma"/>
            <family val="2"/>
            <charset val="161"/>
          </rPr>
          <t xml:space="preserve">
</t>
        </r>
      </text>
    </comment>
    <comment ref="M153" authorId="0">
      <text>
        <r>
          <rPr>
            <b/>
            <sz val="8"/>
            <color indexed="81"/>
            <rFont val="Tahoma"/>
            <family val="2"/>
            <charset val="161"/>
          </rPr>
          <t>Κάτω και το μηδέν.</t>
        </r>
        <r>
          <rPr>
            <sz val="8"/>
            <color indexed="81"/>
            <rFont val="Tahoma"/>
            <family val="2"/>
            <charset val="161"/>
          </rPr>
          <t xml:space="preserve">
</t>
        </r>
      </text>
    </comment>
    <comment ref="M154" authorId="0">
      <text>
        <r>
          <rPr>
            <sz val="8"/>
            <color indexed="81"/>
            <rFont val="Tahoma"/>
            <family val="2"/>
          </rPr>
          <t>Υπόλοιπο</t>
        </r>
        <r>
          <rPr>
            <sz val="8"/>
            <color indexed="81"/>
            <rFont val="Tahoma"/>
            <family val="2"/>
            <charset val="161"/>
          </rPr>
          <t xml:space="preserve">
</t>
        </r>
      </text>
    </comment>
    <comment ref="J159"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59"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60" authorId="0">
      <text>
        <r>
          <rPr>
            <b/>
            <sz val="8"/>
            <color indexed="81"/>
            <rFont val="Tahoma"/>
            <family val="2"/>
            <charset val="161"/>
          </rPr>
          <t>Πόσα μένουν;</t>
        </r>
        <r>
          <rPr>
            <sz val="8"/>
            <color indexed="81"/>
            <rFont val="Tahoma"/>
            <family val="2"/>
            <charset val="161"/>
          </rPr>
          <t xml:space="preserve">
</t>
        </r>
      </text>
    </comment>
    <comment ref="L160" authorId="0">
      <text>
        <r>
          <rPr>
            <b/>
            <sz val="8"/>
            <color indexed="81"/>
            <rFont val="Tahoma"/>
            <family val="2"/>
            <charset val="161"/>
          </rPr>
          <t>Κάτω και το μηδέν.</t>
        </r>
        <r>
          <rPr>
            <sz val="8"/>
            <color indexed="81"/>
            <rFont val="Tahoma"/>
            <family val="2"/>
            <charset val="161"/>
          </rPr>
          <t xml:space="preserve">
</t>
        </r>
      </text>
    </comment>
    <comment ref="P160"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60" authorId="0">
      <text>
        <r>
          <rPr>
            <b/>
            <sz val="8"/>
            <color indexed="81"/>
            <rFont val="Tahoma"/>
            <family val="2"/>
            <charset val="161"/>
          </rPr>
          <t>Πηλίκο</t>
        </r>
        <r>
          <rPr>
            <sz val="8"/>
            <color indexed="81"/>
            <rFont val="Tahoma"/>
            <family val="2"/>
            <charset val="161"/>
          </rPr>
          <t xml:space="preserve">
</t>
        </r>
      </text>
    </comment>
    <comment ref="L161" authorId="0">
      <text>
        <r>
          <rPr>
            <b/>
            <sz val="8"/>
            <color indexed="81"/>
            <rFont val="Tahoma"/>
            <family val="2"/>
            <charset val="161"/>
          </rPr>
          <t>Πόσα μένουν;</t>
        </r>
        <r>
          <rPr>
            <sz val="8"/>
            <color indexed="81"/>
            <rFont val="Tahoma"/>
            <family val="2"/>
            <charset val="161"/>
          </rPr>
          <t xml:space="preserve">
</t>
        </r>
      </text>
    </comment>
    <comment ref="M161" authorId="0">
      <text>
        <r>
          <rPr>
            <b/>
            <sz val="8"/>
            <color indexed="81"/>
            <rFont val="Tahoma"/>
            <family val="2"/>
            <charset val="161"/>
          </rPr>
          <t>Κάτω και το μηδέν.</t>
        </r>
        <r>
          <rPr>
            <sz val="8"/>
            <color indexed="81"/>
            <rFont val="Tahoma"/>
            <family val="2"/>
            <charset val="161"/>
          </rPr>
          <t xml:space="preserve">
</t>
        </r>
      </text>
    </comment>
    <comment ref="M162" authorId="0">
      <text>
        <r>
          <rPr>
            <sz val="8"/>
            <color indexed="81"/>
            <rFont val="Tahoma"/>
            <family val="2"/>
          </rPr>
          <t>Υπόλοιπο</t>
        </r>
        <r>
          <rPr>
            <sz val="8"/>
            <color indexed="81"/>
            <rFont val="Tahoma"/>
            <family val="2"/>
            <charset val="161"/>
          </rPr>
          <t xml:space="preserve">
</t>
        </r>
      </text>
    </comment>
    <comment ref="J167"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67"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68" authorId="0">
      <text>
        <r>
          <rPr>
            <b/>
            <sz val="8"/>
            <color indexed="81"/>
            <rFont val="Tahoma"/>
            <family val="2"/>
            <charset val="161"/>
          </rPr>
          <t>Πόσα μένουν;</t>
        </r>
        <r>
          <rPr>
            <sz val="8"/>
            <color indexed="81"/>
            <rFont val="Tahoma"/>
            <family val="2"/>
            <charset val="161"/>
          </rPr>
          <t xml:space="preserve">
</t>
        </r>
      </text>
    </comment>
    <comment ref="L168" authorId="0">
      <text>
        <r>
          <rPr>
            <b/>
            <sz val="8"/>
            <color indexed="81"/>
            <rFont val="Tahoma"/>
            <family val="2"/>
            <charset val="161"/>
          </rPr>
          <t>Κάτω και το μηδέν.</t>
        </r>
        <r>
          <rPr>
            <sz val="8"/>
            <color indexed="81"/>
            <rFont val="Tahoma"/>
            <family val="2"/>
            <charset val="161"/>
          </rPr>
          <t xml:space="preserve">
</t>
        </r>
      </text>
    </comment>
    <comment ref="P168"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68" authorId="0">
      <text>
        <r>
          <rPr>
            <b/>
            <sz val="8"/>
            <color indexed="81"/>
            <rFont val="Tahoma"/>
            <family val="2"/>
            <charset val="161"/>
          </rPr>
          <t>Πηλίκο</t>
        </r>
        <r>
          <rPr>
            <sz val="8"/>
            <color indexed="81"/>
            <rFont val="Tahoma"/>
            <family val="2"/>
            <charset val="161"/>
          </rPr>
          <t xml:space="preserve">
</t>
        </r>
      </text>
    </comment>
    <comment ref="L169" authorId="0">
      <text>
        <r>
          <rPr>
            <b/>
            <sz val="8"/>
            <color indexed="81"/>
            <rFont val="Tahoma"/>
            <family val="2"/>
            <charset val="161"/>
          </rPr>
          <t>Πόσα μένουν;</t>
        </r>
        <r>
          <rPr>
            <sz val="8"/>
            <color indexed="81"/>
            <rFont val="Tahoma"/>
            <family val="2"/>
            <charset val="161"/>
          </rPr>
          <t xml:space="preserve">
</t>
        </r>
      </text>
    </comment>
    <comment ref="M169" authorId="0">
      <text>
        <r>
          <rPr>
            <b/>
            <sz val="8"/>
            <color indexed="81"/>
            <rFont val="Tahoma"/>
            <family val="2"/>
            <charset val="161"/>
          </rPr>
          <t>Κάτω και το μηδέν.</t>
        </r>
        <r>
          <rPr>
            <sz val="8"/>
            <color indexed="81"/>
            <rFont val="Tahoma"/>
            <family val="2"/>
            <charset val="161"/>
          </rPr>
          <t xml:space="preserve">
</t>
        </r>
      </text>
    </comment>
    <comment ref="M170" authorId="0">
      <text>
        <r>
          <rPr>
            <sz val="8"/>
            <color indexed="81"/>
            <rFont val="Tahoma"/>
            <family val="2"/>
          </rPr>
          <t>Υπόλοιπο</t>
        </r>
        <r>
          <rPr>
            <sz val="8"/>
            <color indexed="81"/>
            <rFont val="Tahoma"/>
            <family val="2"/>
            <charset val="161"/>
          </rPr>
          <t xml:space="preserve">
</t>
        </r>
      </text>
    </comment>
    <comment ref="J175"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75"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76" authorId="0">
      <text>
        <r>
          <rPr>
            <b/>
            <sz val="8"/>
            <color indexed="81"/>
            <rFont val="Tahoma"/>
            <family val="2"/>
            <charset val="161"/>
          </rPr>
          <t>Πόσα μένουν;</t>
        </r>
        <r>
          <rPr>
            <sz val="8"/>
            <color indexed="81"/>
            <rFont val="Tahoma"/>
            <family val="2"/>
            <charset val="161"/>
          </rPr>
          <t xml:space="preserve">
</t>
        </r>
      </text>
    </comment>
    <comment ref="L176" authorId="0">
      <text>
        <r>
          <rPr>
            <b/>
            <sz val="8"/>
            <color indexed="81"/>
            <rFont val="Tahoma"/>
            <family val="2"/>
            <charset val="161"/>
          </rPr>
          <t>Κάτω και το μηδέν.</t>
        </r>
        <r>
          <rPr>
            <sz val="8"/>
            <color indexed="81"/>
            <rFont val="Tahoma"/>
            <family val="2"/>
            <charset val="161"/>
          </rPr>
          <t xml:space="preserve">
</t>
        </r>
      </text>
    </comment>
    <comment ref="P176"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76" authorId="0">
      <text>
        <r>
          <rPr>
            <b/>
            <sz val="8"/>
            <color indexed="81"/>
            <rFont val="Tahoma"/>
            <family val="2"/>
            <charset val="161"/>
          </rPr>
          <t>Πηλίκο</t>
        </r>
        <r>
          <rPr>
            <sz val="8"/>
            <color indexed="81"/>
            <rFont val="Tahoma"/>
            <family val="2"/>
            <charset val="161"/>
          </rPr>
          <t xml:space="preserve">
</t>
        </r>
      </text>
    </comment>
    <comment ref="L177" authorId="0">
      <text>
        <r>
          <rPr>
            <b/>
            <sz val="8"/>
            <color indexed="81"/>
            <rFont val="Tahoma"/>
            <family val="2"/>
            <charset val="161"/>
          </rPr>
          <t>Πόσα μένουν;</t>
        </r>
        <r>
          <rPr>
            <sz val="8"/>
            <color indexed="81"/>
            <rFont val="Tahoma"/>
            <family val="2"/>
            <charset val="161"/>
          </rPr>
          <t xml:space="preserve">
</t>
        </r>
      </text>
    </comment>
    <comment ref="M177" authorId="0">
      <text>
        <r>
          <rPr>
            <b/>
            <sz val="8"/>
            <color indexed="81"/>
            <rFont val="Tahoma"/>
            <family val="2"/>
            <charset val="161"/>
          </rPr>
          <t>Κάτω και το μηδέν.</t>
        </r>
        <r>
          <rPr>
            <sz val="8"/>
            <color indexed="81"/>
            <rFont val="Tahoma"/>
            <family val="2"/>
            <charset val="161"/>
          </rPr>
          <t xml:space="preserve">
</t>
        </r>
      </text>
    </comment>
    <comment ref="M178" authorId="0">
      <text>
        <r>
          <rPr>
            <sz val="8"/>
            <color indexed="81"/>
            <rFont val="Tahoma"/>
            <family val="2"/>
          </rPr>
          <t>Υπόλοιπο</t>
        </r>
        <r>
          <rPr>
            <sz val="8"/>
            <color indexed="81"/>
            <rFont val="Tahoma"/>
            <family val="2"/>
            <charset val="161"/>
          </rPr>
          <t xml:space="preserve">
</t>
        </r>
      </text>
    </comment>
    <comment ref="J183"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83"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84" authorId="0">
      <text>
        <r>
          <rPr>
            <b/>
            <sz val="8"/>
            <color indexed="81"/>
            <rFont val="Tahoma"/>
            <family val="2"/>
            <charset val="161"/>
          </rPr>
          <t>Πόσα μένουν;</t>
        </r>
        <r>
          <rPr>
            <sz val="8"/>
            <color indexed="81"/>
            <rFont val="Tahoma"/>
            <family val="2"/>
            <charset val="161"/>
          </rPr>
          <t xml:space="preserve">
</t>
        </r>
      </text>
    </comment>
    <comment ref="L184" authorId="0">
      <text>
        <r>
          <rPr>
            <b/>
            <sz val="8"/>
            <color indexed="81"/>
            <rFont val="Tahoma"/>
            <family val="2"/>
            <charset val="161"/>
          </rPr>
          <t>Κάτω και το μηδέν.</t>
        </r>
        <r>
          <rPr>
            <sz val="8"/>
            <color indexed="81"/>
            <rFont val="Tahoma"/>
            <family val="2"/>
            <charset val="161"/>
          </rPr>
          <t xml:space="preserve">
</t>
        </r>
      </text>
    </comment>
    <comment ref="P184"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84" authorId="0">
      <text>
        <r>
          <rPr>
            <b/>
            <sz val="8"/>
            <color indexed="81"/>
            <rFont val="Tahoma"/>
            <family val="2"/>
            <charset val="161"/>
          </rPr>
          <t>Πηλίκο</t>
        </r>
        <r>
          <rPr>
            <sz val="8"/>
            <color indexed="81"/>
            <rFont val="Tahoma"/>
            <family val="2"/>
            <charset val="161"/>
          </rPr>
          <t xml:space="preserve">
</t>
        </r>
      </text>
    </comment>
    <comment ref="L185" authorId="0">
      <text>
        <r>
          <rPr>
            <b/>
            <sz val="8"/>
            <color indexed="81"/>
            <rFont val="Tahoma"/>
            <family val="2"/>
            <charset val="161"/>
          </rPr>
          <t>Πόσα μένουν;</t>
        </r>
        <r>
          <rPr>
            <sz val="8"/>
            <color indexed="81"/>
            <rFont val="Tahoma"/>
            <family val="2"/>
            <charset val="161"/>
          </rPr>
          <t xml:space="preserve">
</t>
        </r>
      </text>
    </comment>
    <comment ref="M185" authorId="0">
      <text>
        <r>
          <rPr>
            <b/>
            <sz val="8"/>
            <color indexed="81"/>
            <rFont val="Tahoma"/>
            <family val="2"/>
            <charset val="161"/>
          </rPr>
          <t>Κάτω και το μηδέν.</t>
        </r>
        <r>
          <rPr>
            <sz val="8"/>
            <color indexed="81"/>
            <rFont val="Tahoma"/>
            <family val="2"/>
            <charset val="161"/>
          </rPr>
          <t xml:space="preserve">
</t>
        </r>
      </text>
    </comment>
    <comment ref="M186" authorId="0">
      <text>
        <r>
          <rPr>
            <sz val="8"/>
            <color indexed="81"/>
            <rFont val="Tahoma"/>
            <family val="2"/>
          </rPr>
          <t>Υπόλοιπο</t>
        </r>
        <r>
          <rPr>
            <sz val="8"/>
            <color indexed="81"/>
            <rFont val="Tahoma"/>
            <family val="2"/>
            <charset val="161"/>
          </rPr>
          <t xml:space="preserve">
</t>
        </r>
      </text>
    </comment>
    <comment ref="I191"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191"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K192" authorId="0">
      <text>
        <r>
          <rPr>
            <b/>
            <sz val="8"/>
            <color indexed="81"/>
            <rFont val="Tahoma"/>
            <family val="2"/>
            <charset val="161"/>
          </rPr>
          <t>Πόσα μένουν;</t>
        </r>
        <r>
          <rPr>
            <sz val="8"/>
            <color indexed="81"/>
            <rFont val="Tahoma"/>
            <family val="2"/>
            <charset val="161"/>
          </rPr>
          <t xml:space="preserve">
</t>
        </r>
      </text>
    </comment>
    <comment ref="L192" authorId="0">
      <text>
        <r>
          <rPr>
            <b/>
            <sz val="8"/>
            <color indexed="81"/>
            <rFont val="Tahoma"/>
            <family val="2"/>
            <charset val="161"/>
          </rPr>
          <t>Κάτω και το μηδέν.</t>
        </r>
        <r>
          <rPr>
            <sz val="8"/>
            <color indexed="81"/>
            <rFont val="Tahoma"/>
            <family val="2"/>
            <charset val="161"/>
          </rPr>
          <t xml:space="preserve">
</t>
        </r>
      </text>
    </comment>
    <comment ref="P192"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192" authorId="0">
      <text>
        <r>
          <rPr>
            <b/>
            <sz val="8"/>
            <color indexed="81"/>
            <rFont val="Tahoma"/>
            <family val="2"/>
            <charset val="161"/>
          </rPr>
          <t>Πηλίκο</t>
        </r>
        <r>
          <rPr>
            <sz val="8"/>
            <color indexed="81"/>
            <rFont val="Tahoma"/>
            <family val="2"/>
            <charset val="161"/>
          </rPr>
          <t xml:space="preserve">
</t>
        </r>
      </text>
    </comment>
    <comment ref="L193" authorId="0">
      <text>
        <r>
          <rPr>
            <b/>
            <sz val="8"/>
            <color indexed="81"/>
            <rFont val="Tahoma"/>
            <family val="2"/>
            <charset val="161"/>
          </rPr>
          <t>Πόσα μένουν;</t>
        </r>
        <r>
          <rPr>
            <sz val="8"/>
            <color indexed="81"/>
            <rFont val="Tahoma"/>
            <family val="2"/>
            <charset val="161"/>
          </rPr>
          <t xml:space="preserve">
</t>
        </r>
      </text>
    </comment>
    <comment ref="M193" authorId="0">
      <text>
        <r>
          <rPr>
            <b/>
            <sz val="8"/>
            <color indexed="81"/>
            <rFont val="Tahoma"/>
            <family val="2"/>
            <charset val="161"/>
          </rPr>
          <t>Κάτω και το μηδέν.</t>
        </r>
        <r>
          <rPr>
            <sz val="8"/>
            <color indexed="81"/>
            <rFont val="Tahoma"/>
            <family val="2"/>
            <charset val="161"/>
          </rPr>
          <t xml:space="preserve">
</t>
        </r>
      </text>
    </comment>
    <comment ref="M194" authorId="0">
      <text>
        <r>
          <rPr>
            <sz val="8"/>
            <color indexed="81"/>
            <rFont val="Tahoma"/>
            <family val="2"/>
          </rPr>
          <t>Υπόλοιπο</t>
        </r>
        <r>
          <rPr>
            <sz val="8"/>
            <color indexed="81"/>
            <rFont val="Tahoma"/>
            <family val="2"/>
            <charset val="161"/>
          </rPr>
          <t xml:space="preserve">
</t>
        </r>
      </text>
    </comment>
    <comment ref="D209" authorId="0">
      <text>
        <r>
          <rPr>
            <sz val="8"/>
            <color indexed="81"/>
            <rFont val="Tahoma"/>
            <family val="2"/>
            <charset val="161"/>
          </rPr>
          <t xml:space="preserve">Απλοποιήσαμε το κλάσμα.
</t>
        </r>
      </text>
    </comment>
    <comment ref="F209" authorId="0">
      <text>
        <r>
          <rPr>
            <sz val="8"/>
            <color indexed="81"/>
            <rFont val="Tahoma"/>
            <family val="2"/>
            <charset val="161"/>
          </rPr>
          <t xml:space="preserve">Μετατρέψαμε το κλάσμα σε ισοδύναμο κλάσμα με παρονομαστή 100.
</t>
        </r>
      </text>
    </comment>
    <comment ref="H209" authorId="0">
      <text>
        <r>
          <rPr>
            <b/>
            <sz val="8"/>
            <color indexed="81"/>
            <rFont val="Tahoma"/>
            <family val="2"/>
            <charset val="161"/>
          </rPr>
          <t>Γράφουμε το ποσοστό.</t>
        </r>
        <r>
          <rPr>
            <sz val="8"/>
            <color indexed="81"/>
            <rFont val="Tahoma"/>
            <family val="2"/>
            <charset val="161"/>
          </rPr>
          <t xml:space="preserve">
</t>
        </r>
      </text>
    </comment>
    <comment ref="D214" authorId="0">
      <text>
        <r>
          <rPr>
            <sz val="8"/>
            <color indexed="81"/>
            <rFont val="Tahoma"/>
            <family val="2"/>
            <charset val="161"/>
          </rPr>
          <t xml:space="preserve">Απλοποιήσαμε το κλάσμα.
</t>
        </r>
      </text>
    </comment>
    <comment ref="F214" authorId="0">
      <text>
        <r>
          <rPr>
            <sz val="8"/>
            <color indexed="81"/>
            <rFont val="Tahoma"/>
            <family val="2"/>
            <charset val="161"/>
          </rPr>
          <t xml:space="preserve">Μετατρέψαμε το κλάσμα σε ισοδύναμο κλάσμα με παρονομαστή 100.
</t>
        </r>
      </text>
    </comment>
    <comment ref="H214" authorId="0">
      <text>
        <r>
          <rPr>
            <b/>
            <sz val="8"/>
            <color indexed="81"/>
            <rFont val="Tahoma"/>
            <family val="2"/>
            <charset val="161"/>
          </rPr>
          <t>Γράφουμε το ποσοστό.</t>
        </r>
        <r>
          <rPr>
            <sz val="8"/>
            <color indexed="81"/>
            <rFont val="Tahoma"/>
            <family val="2"/>
            <charset val="161"/>
          </rPr>
          <t xml:space="preserve">
</t>
        </r>
      </text>
    </comment>
    <comment ref="D218" authorId="0">
      <text>
        <r>
          <rPr>
            <sz val="8"/>
            <color indexed="81"/>
            <rFont val="Tahoma"/>
            <family val="2"/>
            <charset val="161"/>
          </rPr>
          <t xml:space="preserve">Απλοποιήσαμε το κλάσμα.
</t>
        </r>
      </text>
    </comment>
    <comment ref="F218" authorId="0">
      <text>
        <r>
          <rPr>
            <sz val="8"/>
            <color indexed="81"/>
            <rFont val="Tahoma"/>
            <family val="2"/>
            <charset val="161"/>
          </rPr>
          <t xml:space="preserve">Μετατρέψαμε το κλάσμα σε ισοδύναμο κλάσμα με παρονομαστή 100.
</t>
        </r>
      </text>
    </comment>
    <comment ref="H218" authorId="0">
      <text>
        <r>
          <rPr>
            <b/>
            <sz val="8"/>
            <color indexed="81"/>
            <rFont val="Tahoma"/>
            <family val="2"/>
            <charset val="161"/>
          </rPr>
          <t>Γράφουμε το ποσοστό.</t>
        </r>
        <r>
          <rPr>
            <sz val="8"/>
            <color indexed="81"/>
            <rFont val="Tahoma"/>
            <family val="2"/>
            <charset val="161"/>
          </rPr>
          <t xml:space="preserve">
</t>
        </r>
      </text>
    </comment>
    <comment ref="D222" authorId="0">
      <text>
        <r>
          <rPr>
            <sz val="8"/>
            <color indexed="81"/>
            <rFont val="Tahoma"/>
            <family val="2"/>
            <charset val="161"/>
          </rPr>
          <t xml:space="preserve">Απλοποιήσαμε το κλάσμα.
</t>
        </r>
      </text>
    </comment>
    <comment ref="F222" authorId="0">
      <text>
        <r>
          <rPr>
            <sz val="8"/>
            <color indexed="81"/>
            <rFont val="Tahoma"/>
            <family val="2"/>
            <charset val="161"/>
          </rPr>
          <t xml:space="preserve">Μετατρέψαμε το κλάσμα σε ισοδύναμο κλάσμα με παρονομαστή 100.
</t>
        </r>
      </text>
    </comment>
    <comment ref="H222" authorId="0">
      <text>
        <r>
          <rPr>
            <b/>
            <sz val="8"/>
            <color indexed="81"/>
            <rFont val="Tahoma"/>
            <family val="2"/>
            <charset val="161"/>
          </rPr>
          <t>Γράφουμε το ποσοστό.</t>
        </r>
        <r>
          <rPr>
            <sz val="8"/>
            <color indexed="81"/>
            <rFont val="Tahoma"/>
            <family val="2"/>
            <charset val="161"/>
          </rPr>
          <t xml:space="preserve">
</t>
        </r>
      </text>
    </comment>
    <comment ref="M222" authorId="0">
      <text>
        <r>
          <rPr>
            <b/>
            <sz val="8"/>
            <color indexed="81"/>
            <rFont val="Tahoma"/>
            <family val="2"/>
            <charset val="161"/>
          </rPr>
          <t>Βρες το Μ.Κ.Δ. του 9 και του 15 για να απλοποιήσεις</t>
        </r>
        <r>
          <rPr>
            <sz val="8"/>
            <color indexed="81"/>
            <rFont val="Tahoma"/>
            <family val="2"/>
            <charset val="161"/>
          </rPr>
          <t xml:space="preserve">
</t>
        </r>
      </text>
    </comment>
    <comment ref="D226" authorId="0">
      <text>
        <r>
          <rPr>
            <sz val="8"/>
            <color indexed="81"/>
            <rFont val="Tahoma"/>
            <family val="2"/>
            <charset val="161"/>
          </rPr>
          <t xml:space="preserve">Απλοποιήσαμε το κλάσμα.
</t>
        </r>
      </text>
    </comment>
    <comment ref="F226" authorId="0">
      <text>
        <r>
          <rPr>
            <sz val="8"/>
            <color indexed="81"/>
            <rFont val="Tahoma"/>
            <family val="2"/>
            <charset val="161"/>
          </rPr>
          <t xml:space="preserve">Μετατρέψαμε το κλάσμα σε ισοδύναμο κλάσμα με παρονομαστή 100.
</t>
        </r>
      </text>
    </comment>
    <comment ref="H226" authorId="0">
      <text>
        <r>
          <rPr>
            <b/>
            <sz val="8"/>
            <color indexed="81"/>
            <rFont val="Tahoma"/>
            <family val="2"/>
            <charset val="161"/>
          </rPr>
          <t>Γράφουμε το ποσοστό.</t>
        </r>
        <r>
          <rPr>
            <sz val="8"/>
            <color indexed="81"/>
            <rFont val="Tahoma"/>
            <family val="2"/>
            <charset val="161"/>
          </rPr>
          <t xml:space="preserve">
</t>
        </r>
      </text>
    </comment>
    <comment ref="M226" authorId="0">
      <text>
        <r>
          <rPr>
            <b/>
            <sz val="8"/>
            <color indexed="81"/>
            <rFont val="Tahoma"/>
            <family val="2"/>
            <charset val="161"/>
          </rPr>
          <t>Βρες το Μ.Κ.Δ. του 6 και του 30 για να απλοποιήσεις.</t>
        </r>
        <r>
          <rPr>
            <sz val="8"/>
            <color indexed="81"/>
            <rFont val="Tahoma"/>
            <family val="2"/>
            <charset val="161"/>
          </rPr>
          <t xml:space="preserve">
</t>
        </r>
      </text>
    </comment>
    <comment ref="D230" authorId="0">
      <text>
        <r>
          <rPr>
            <sz val="8"/>
            <color indexed="81"/>
            <rFont val="Tahoma"/>
            <family val="2"/>
            <charset val="161"/>
          </rPr>
          <t xml:space="preserve">Απλοποιήσαμε το κλάσμα.
</t>
        </r>
      </text>
    </comment>
    <comment ref="F230" authorId="0">
      <text>
        <r>
          <rPr>
            <sz val="8"/>
            <color indexed="81"/>
            <rFont val="Tahoma"/>
            <family val="2"/>
            <charset val="161"/>
          </rPr>
          <t xml:space="preserve">Μετατρέψαμε το κλάσμα σε ισοδύναμο κλάσμα με παρονομαστή 100.
</t>
        </r>
      </text>
    </comment>
    <comment ref="H230" authorId="0">
      <text>
        <r>
          <rPr>
            <b/>
            <sz val="8"/>
            <color indexed="81"/>
            <rFont val="Tahoma"/>
            <family val="2"/>
            <charset val="161"/>
          </rPr>
          <t>Γράφουμε το ποσοστό.</t>
        </r>
        <r>
          <rPr>
            <sz val="8"/>
            <color indexed="81"/>
            <rFont val="Tahoma"/>
            <family val="2"/>
            <charset val="161"/>
          </rPr>
          <t xml:space="preserve">
</t>
        </r>
      </text>
    </comment>
    <comment ref="D234" authorId="0">
      <text>
        <r>
          <rPr>
            <sz val="8"/>
            <color indexed="81"/>
            <rFont val="Tahoma"/>
            <family val="2"/>
            <charset val="161"/>
          </rPr>
          <t xml:space="preserve">Απλοποιήσαμε το κλάσμα.
</t>
        </r>
      </text>
    </comment>
    <comment ref="F234" authorId="0">
      <text>
        <r>
          <rPr>
            <sz val="8"/>
            <color indexed="81"/>
            <rFont val="Tahoma"/>
            <family val="2"/>
            <charset val="161"/>
          </rPr>
          <t xml:space="preserve">Μετατρέψαμε το κλάσμα σε ισοδύναμο κλάσμα με παρονομαστή 100.
</t>
        </r>
      </text>
    </comment>
    <comment ref="H234" authorId="0">
      <text>
        <r>
          <rPr>
            <b/>
            <sz val="8"/>
            <color indexed="81"/>
            <rFont val="Tahoma"/>
            <family val="2"/>
            <charset val="161"/>
          </rPr>
          <t>Γράφουμε το ποσοστό.</t>
        </r>
        <r>
          <rPr>
            <sz val="8"/>
            <color indexed="81"/>
            <rFont val="Tahoma"/>
            <family val="2"/>
            <charset val="161"/>
          </rPr>
          <t xml:space="preserve">
</t>
        </r>
      </text>
    </comment>
    <comment ref="M234" authorId="0">
      <text>
        <r>
          <rPr>
            <b/>
            <sz val="8"/>
            <color indexed="81"/>
            <rFont val="Tahoma"/>
            <family val="2"/>
            <charset val="161"/>
          </rPr>
          <t>Βρες το Μ.Κ.Δ. του 30 και του 24 για να απλοποιήσεις</t>
        </r>
        <r>
          <rPr>
            <sz val="8"/>
            <color indexed="81"/>
            <rFont val="Tahoma"/>
            <family val="2"/>
            <charset val="161"/>
          </rPr>
          <t xml:space="preserve">
</t>
        </r>
      </text>
    </comment>
    <comment ref="D238" authorId="0">
      <text>
        <r>
          <rPr>
            <sz val="8"/>
            <color indexed="81"/>
            <rFont val="Tahoma"/>
            <family val="2"/>
            <charset val="161"/>
          </rPr>
          <t xml:space="preserve">Απλοποιήσαμε το κλάσμα.
</t>
        </r>
      </text>
    </comment>
    <comment ref="F238" authorId="0">
      <text>
        <r>
          <rPr>
            <sz val="8"/>
            <color indexed="81"/>
            <rFont val="Tahoma"/>
            <family val="2"/>
            <charset val="161"/>
          </rPr>
          <t xml:space="preserve">Μετατρέψαμε το κλάσμα σε ισοδύναμο κλάσμα με παρονομαστή 100.
</t>
        </r>
      </text>
    </comment>
    <comment ref="H238" authorId="0">
      <text>
        <r>
          <rPr>
            <b/>
            <sz val="8"/>
            <color indexed="81"/>
            <rFont val="Tahoma"/>
            <family val="2"/>
            <charset val="161"/>
          </rPr>
          <t>Γράφουμε το ποσοστό.</t>
        </r>
        <r>
          <rPr>
            <sz val="8"/>
            <color indexed="81"/>
            <rFont val="Tahoma"/>
            <family val="2"/>
            <charset val="161"/>
          </rPr>
          <t xml:space="preserve">
</t>
        </r>
      </text>
    </comment>
    <comment ref="M238" authorId="0">
      <text>
        <r>
          <rPr>
            <b/>
            <sz val="8"/>
            <color indexed="81"/>
            <rFont val="Tahoma"/>
            <family val="2"/>
            <charset val="161"/>
          </rPr>
          <t>Βρες το Μ.Κ.Δ. του 21 και του 35 για να απλοποιήσεις</t>
        </r>
        <r>
          <rPr>
            <sz val="8"/>
            <color indexed="81"/>
            <rFont val="Tahoma"/>
            <family val="2"/>
            <charset val="161"/>
          </rPr>
          <t xml:space="preserve">
</t>
        </r>
      </text>
    </comment>
    <comment ref="D242" authorId="0">
      <text>
        <r>
          <rPr>
            <sz val="8"/>
            <color indexed="81"/>
            <rFont val="Tahoma"/>
            <family val="2"/>
            <charset val="161"/>
          </rPr>
          <t xml:space="preserve">Απλοποιήσαμε το κλάσμα.
</t>
        </r>
      </text>
    </comment>
    <comment ref="F242" authorId="0">
      <text>
        <r>
          <rPr>
            <sz val="8"/>
            <color indexed="81"/>
            <rFont val="Tahoma"/>
            <family val="2"/>
            <charset val="161"/>
          </rPr>
          <t xml:space="preserve">Μετατρέψαμε το κλάσμα σε ισοδύναμο κλάσμα με παρονομαστή 100.
</t>
        </r>
      </text>
    </comment>
    <comment ref="H242" authorId="0">
      <text>
        <r>
          <rPr>
            <b/>
            <sz val="8"/>
            <color indexed="81"/>
            <rFont val="Tahoma"/>
            <family val="2"/>
            <charset val="161"/>
          </rPr>
          <t>Γράφουμε το ποσοστό.</t>
        </r>
        <r>
          <rPr>
            <sz val="8"/>
            <color indexed="81"/>
            <rFont val="Tahoma"/>
            <family val="2"/>
            <charset val="161"/>
          </rPr>
          <t xml:space="preserve">
</t>
        </r>
      </text>
    </comment>
    <comment ref="D246" authorId="0">
      <text>
        <r>
          <rPr>
            <sz val="8"/>
            <color indexed="81"/>
            <rFont val="Tahoma"/>
            <family val="2"/>
            <charset val="161"/>
          </rPr>
          <t xml:space="preserve">Απλοποιήσαμε το κλάσμα.
</t>
        </r>
      </text>
    </comment>
    <comment ref="F246" authorId="0">
      <text>
        <r>
          <rPr>
            <sz val="8"/>
            <color indexed="81"/>
            <rFont val="Tahoma"/>
            <family val="2"/>
            <charset val="161"/>
          </rPr>
          <t xml:space="preserve">Μετατρέψαμε το κλάσμα σε ισοδύναμο κλάσμα με παρονομαστή 100.
</t>
        </r>
      </text>
    </comment>
    <comment ref="H246" authorId="0">
      <text>
        <r>
          <rPr>
            <b/>
            <sz val="8"/>
            <color indexed="81"/>
            <rFont val="Tahoma"/>
            <family val="2"/>
            <charset val="161"/>
          </rPr>
          <t>Γράφουμε το ποσοστό.</t>
        </r>
        <r>
          <rPr>
            <sz val="8"/>
            <color indexed="81"/>
            <rFont val="Tahoma"/>
            <family val="2"/>
            <charset val="161"/>
          </rPr>
          <t xml:space="preserve">
</t>
        </r>
      </text>
    </comment>
    <comment ref="M246" authorId="0">
      <text>
        <r>
          <rPr>
            <b/>
            <sz val="8"/>
            <color indexed="81"/>
            <rFont val="Tahoma"/>
            <family val="2"/>
            <charset val="161"/>
          </rPr>
          <t>Το 8 στο 1000 χωρά 125 φορές.</t>
        </r>
        <r>
          <rPr>
            <sz val="8"/>
            <color indexed="81"/>
            <rFont val="Tahoma"/>
            <family val="2"/>
            <charset val="161"/>
          </rPr>
          <t xml:space="preserve">
</t>
        </r>
      </text>
    </comment>
    <comment ref="D250" authorId="0">
      <text>
        <r>
          <rPr>
            <sz val="8"/>
            <color indexed="81"/>
            <rFont val="Tahoma"/>
            <family val="2"/>
            <charset val="161"/>
          </rPr>
          <t xml:space="preserve">Απλοποιήσαμε το κλάσμα.
</t>
        </r>
      </text>
    </comment>
    <comment ref="F250" authorId="0">
      <text>
        <r>
          <rPr>
            <sz val="8"/>
            <color indexed="81"/>
            <rFont val="Tahoma"/>
            <family val="2"/>
            <charset val="161"/>
          </rPr>
          <t xml:space="preserve">Μετατρέψαμε το κλάσμα σε ισοδύναμο κλάσμα με παρονομαστή 100.
</t>
        </r>
      </text>
    </comment>
    <comment ref="H250" authorId="0">
      <text>
        <r>
          <rPr>
            <b/>
            <sz val="8"/>
            <color indexed="81"/>
            <rFont val="Tahoma"/>
            <family val="2"/>
            <charset val="161"/>
          </rPr>
          <t>Γράφουμε το ποσοστό.</t>
        </r>
        <r>
          <rPr>
            <sz val="8"/>
            <color indexed="81"/>
            <rFont val="Tahoma"/>
            <family val="2"/>
            <charset val="161"/>
          </rPr>
          <t xml:space="preserve">
</t>
        </r>
      </text>
    </comment>
    <comment ref="M250" authorId="0">
      <text>
        <r>
          <rPr>
            <b/>
            <sz val="8"/>
            <color indexed="81"/>
            <rFont val="Tahoma"/>
            <family val="2"/>
            <charset val="161"/>
          </rPr>
          <t>Βρες το Μ.Κ.Δ. του 60και του 24 για να απλοποιήσεις</t>
        </r>
        <r>
          <rPr>
            <sz val="8"/>
            <color indexed="81"/>
            <rFont val="Tahoma"/>
            <family val="2"/>
            <charset val="161"/>
          </rPr>
          <t xml:space="preserve">
</t>
        </r>
      </text>
    </comment>
    <comment ref="D260" authorId="0">
      <text>
        <r>
          <rPr>
            <sz val="8"/>
            <color indexed="81"/>
            <rFont val="Tahoma"/>
            <family val="2"/>
            <charset val="161"/>
          </rPr>
          <t xml:space="preserve">Μετάτρεψε το κλάσμα σε ισοδύναμο κλάσμα με παρονομαστή 100.
</t>
        </r>
      </text>
    </comment>
    <comment ref="F260" authorId="0">
      <text>
        <r>
          <rPr>
            <b/>
            <sz val="8"/>
            <color indexed="81"/>
            <rFont val="Tahoma"/>
            <family val="2"/>
            <charset val="161"/>
          </rPr>
          <t>Γράφουμε το ποσοστό.</t>
        </r>
        <r>
          <rPr>
            <sz val="8"/>
            <color indexed="81"/>
            <rFont val="Tahoma"/>
            <family val="2"/>
            <charset val="161"/>
          </rPr>
          <t xml:space="preserve">
</t>
        </r>
      </text>
    </comment>
    <comment ref="J261"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261"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P262"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262" authorId="0">
      <text>
        <r>
          <rPr>
            <b/>
            <sz val="8"/>
            <color indexed="81"/>
            <rFont val="Tahoma"/>
            <family val="2"/>
            <charset val="161"/>
          </rPr>
          <t>Πηλίκο</t>
        </r>
        <r>
          <rPr>
            <sz val="8"/>
            <color indexed="81"/>
            <rFont val="Tahoma"/>
            <family val="2"/>
            <charset val="161"/>
          </rPr>
          <t xml:space="preserve">
</t>
        </r>
      </text>
    </comment>
    <comment ref="D264" authorId="0">
      <text>
        <r>
          <rPr>
            <sz val="8"/>
            <color indexed="81"/>
            <rFont val="Tahoma"/>
            <family val="2"/>
            <charset val="161"/>
          </rPr>
          <t xml:space="preserve">Μετάτρεψε το κλάσμα σε ισοδύναμο κλάσμα με παρονομαστή 100.
</t>
        </r>
      </text>
    </comment>
    <comment ref="F264" authorId="0">
      <text>
        <r>
          <rPr>
            <b/>
            <sz val="8"/>
            <color indexed="81"/>
            <rFont val="Tahoma"/>
            <family val="2"/>
            <charset val="161"/>
          </rPr>
          <t>Γράφουμε το ποσοστό.</t>
        </r>
        <r>
          <rPr>
            <sz val="8"/>
            <color indexed="81"/>
            <rFont val="Tahoma"/>
            <family val="2"/>
            <charset val="161"/>
          </rPr>
          <t xml:space="preserve">
</t>
        </r>
      </text>
    </comment>
    <comment ref="M264" authorId="0">
      <text>
        <r>
          <rPr>
            <sz val="8"/>
            <color indexed="81"/>
            <rFont val="Tahoma"/>
            <family val="2"/>
          </rPr>
          <t>Υπόλοιπο</t>
        </r>
        <r>
          <rPr>
            <sz val="8"/>
            <color indexed="81"/>
            <rFont val="Tahoma"/>
            <family val="2"/>
            <charset val="161"/>
          </rPr>
          <t xml:space="preserve">
</t>
        </r>
      </text>
    </comment>
    <comment ref="D268" authorId="0">
      <text>
        <r>
          <rPr>
            <sz val="8"/>
            <color indexed="81"/>
            <rFont val="Tahoma"/>
            <family val="2"/>
            <charset val="161"/>
          </rPr>
          <t xml:space="preserve">Μετάτρεψε το κλάσμα σε ισοδύναμο κλάσμα με παρονομαστή 100, πολλαπλασιάζοντας επί 12,5.
</t>
        </r>
      </text>
    </comment>
    <comment ref="F268" authorId="0">
      <text>
        <r>
          <rPr>
            <b/>
            <sz val="8"/>
            <color indexed="81"/>
            <rFont val="Tahoma"/>
            <family val="2"/>
            <charset val="161"/>
          </rPr>
          <t>Γράφουμε το ποσοστό.</t>
        </r>
        <r>
          <rPr>
            <sz val="8"/>
            <color indexed="81"/>
            <rFont val="Tahoma"/>
            <family val="2"/>
            <charset val="161"/>
          </rPr>
          <t xml:space="preserve">
</t>
        </r>
      </text>
    </comment>
    <comment ref="D272" authorId="0">
      <text>
        <r>
          <rPr>
            <sz val="8"/>
            <color indexed="81"/>
            <rFont val="Tahoma"/>
            <family val="2"/>
            <charset val="161"/>
          </rPr>
          <t xml:space="preserve">Μετάτρεψε το κλάσμα σε ισοδύναμο κλάσμα με παρονομαστή 100.
</t>
        </r>
      </text>
    </comment>
    <comment ref="F272" authorId="0">
      <text>
        <r>
          <rPr>
            <b/>
            <sz val="8"/>
            <color indexed="81"/>
            <rFont val="Tahoma"/>
            <family val="2"/>
            <charset val="161"/>
          </rPr>
          <t>Γράφουμε το ποσοστό.</t>
        </r>
        <r>
          <rPr>
            <sz val="8"/>
            <color indexed="81"/>
            <rFont val="Tahoma"/>
            <family val="2"/>
            <charset val="161"/>
          </rPr>
          <t xml:space="preserve">
</t>
        </r>
      </text>
    </comment>
    <comment ref="D276" authorId="0">
      <text>
        <r>
          <rPr>
            <sz val="8"/>
            <color indexed="81"/>
            <rFont val="Tahoma"/>
            <family val="2"/>
            <charset val="161"/>
          </rPr>
          <t xml:space="preserve">Μετάτρεψε το κλάσμα σε ισοδύναμο κλάσμα με παρονομαστή 100.
</t>
        </r>
      </text>
    </comment>
    <comment ref="F276" authorId="0">
      <text>
        <r>
          <rPr>
            <b/>
            <sz val="8"/>
            <color indexed="81"/>
            <rFont val="Tahoma"/>
            <family val="2"/>
            <charset val="161"/>
          </rPr>
          <t>Γράφουμε το ποσοστό.</t>
        </r>
        <r>
          <rPr>
            <sz val="8"/>
            <color indexed="81"/>
            <rFont val="Tahoma"/>
            <family val="2"/>
            <charset val="161"/>
          </rPr>
          <t xml:space="preserve">
</t>
        </r>
      </text>
    </comment>
    <comment ref="J279"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O279"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D280" authorId="0">
      <text>
        <r>
          <rPr>
            <sz val="8"/>
            <color indexed="81"/>
            <rFont val="Tahoma"/>
            <family val="2"/>
            <charset val="161"/>
          </rPr>
          <t xml:space="preserve">Μετάτρεψε το κλάσμα σε ισοδύναμο κλάσμα με παρονομαστή 100.
</t>
        </r>
      </text>
    </comment>
    <comment ref="F280" authorId="0">
      <text>
        <r>
          <rPr>
            <b/>
            <sz val="8"/>
            <color indexed="81"/>
            <rFont val="Tahoma"/>
            <family val="2"/>
            <charset val="161"/>
          </rPr>
          <t>Γράφουμε το ποσοστό.</t>
        </r>
        <r>
          <rPr>
            <sz val="8"/>
            <color indexed="81"/>
            <rFont val="Tahoma"/>
            <family val="2"/>
            <charset val="161"/>
          </rPr>
          <t xml:space="preserve">
</t>
        </r>
      </text>
    </comment>
    <comment ref="P280" authorId="0">
      <text>
        <r>
          <rPr>
            <b/>
            <sz val="8"/>
            <color indexed="81"/>
            <rFont val="Tahoma"/>
            <family val="2"/>
            <charset val="161"/>
          </rPr>
          <t>Γράφουμε το κόμμα (ΥΠΟΔΙΑΣΤΟΛΗ)</t>
        </r>
        <r>
          <rPr>
            <sz val="8"/>
            <color indexed="81"/>
            <rFont val="Tahoma"/>
            <family val="2"/>
            <charset val="161"/>
          </rPr>
          <t xml:space="preserve">
</t>
        </r>
      </text>
    </comment>
    <comment ref="S280" authorId="0">
      <text>
        <r>
          <rPr>
            <b/>
            <sz val="8"/>
            <color indexed="81"/>
            <rFont val="Tahoma"/>
            <family val="2"/>
            <charset val="161"/>
          </rPr>
          <t>Πηλίκο</t>
        </r>
        <r>
          <rPr>
            <sz val="8"/>
            <color indexed="81"/>
            <rFont val="Tahoma"/>
            <family val="2"/>
            <charset val="161"/>
          </rPr>
          <t xml:space="preserve">
</t>
        </r>
      </text>
    </comment>
    <comment ref="M282" authorId="0">
      <text>
        <r>
          <rPr>
            <sz val="8"/>
            <color indexed="81"/>
            <rFont val="Tahoma"/>
            <family val="2"/>
          </rPr>
          <t>Υπόλοιπο</t>
        </r>
        <r>
          <rPr>
            <sz val="8"/>
            <color indexed="81"/>
            <rFont val="Tahoma"/>
            <family val="2"/>
            <charset val="161"/>
          </rPr>
          <t xml:space="preserve">
</t>
        </r>
      </text>
    </comment>
    <comment ref="D284" authorId="0">
      <text>
        <r>
          <rPr>
            <sz val="8"/>
            <color indexed="81"/>
            <rFont val="Tahoma"/>
            <family val="2"/>
            <charset val="161"/>
          </rPr>
          <t xml:space="preserve">Μετάτρεψε το κλάσμα σε ισοδύναμο κλάσμα με παρονομαστή 100.
</t>
        </r>
      </text>
    </comment>
    <comment ref="F284" authorId="0">
      <text>
        <r>
          <rPr>
            <b/>
            <sz val="8"/>
            <color indexed="81"/>
            <rFont val="Tahoma"/>
            <family val="2"/>
            <charset val="161"/>
          </rPr>
          <t>Γράφουμε το ποσοστό.</t>
        </r>
        <r>
          <rPr>
            <sz val="8"/>
            <color indexed="81"/>
            <rFont val="Tahoma"/>
            <family val="2"/>
            <charset val="161"/>
          </rPr>
          <t xml:space="preserve">
</t>
        </r>
      </text>
    </comment>
    <comment ref="D288" authorId="0">
      <text>
        <r>
          <rPr>
            <sz val="8"/>
            <color indexed="81"/>
            <rFont val="Tahoma"/>
            <family val="2"/>
            <charset val="161"/>
          </rPr>
          <t xml:space="preserve">Μετάτρεψε το κλάσμα σε ισοδύναμο κλάσμα με παρονομαστή 100.
</t>
        </r>
      </text>
    </comment>
    <comment ref="F288" authorId="0">
      <text>
        <r>
          <rPr>
            <b/>
            <sz val="8"/>
            <color indexed="81"/>
            <rFont val="Tahoma"/>
            <family val="2"/>
            <charset val="161"/>
          </rPr>
          <t>Γράφουμε το ποσοστό.</t>
        </r>
        <r>
          <rPr>
            <sz val="8"/>
            <color indexed="81"/>
            <rFont val="Tahoma"/>
            <family val="2"/>
            <charset val="161"/>
          </rPr>
          <t xml:space="preserve">
</t>
        </r>
      </text>
    </comment>
    <comment ref="D292" authorId="0">
      <text>
        <r>
          <rPr>
            <sz val="8"/>
            <color indexed="81"/>
            <rFont val="Tahoma"/>
            <family val="2"/>
            <charset val="161"/>
          </rPr>
          <t xml:space="preserve">Μετάτρεψε το κλάσμα σε ισοδύναμο κλάσμα με παρονομαστή 100.
</t>
        </r>
      </text>
    </comment>
    <comment ref="F292" authorId="0">
      <text>
        <r>
          <rPr>
            <b/>
            <sz val="8"/>
            <color indexed="81"/>
            <rFont val="Tahoma"/>
            <family val="2"/>
            <charset val="161"/>
          </rPr>
          <t>Γράφουμε το ποσοστό.</t>
        </r>
        <r>
          <rPr>
            <sz val="8"/>
            <color indexed="81"/>
            <rFont val="Tahoma"/>
            <family val="2"/>
            <charset val="161"/>
          </rPr>
          <t xml:space="preserve">
</t>
        </r>
      </text>
    </comment>
    <comment ref="D296" authorId="0">
      <text>
        <r>
          <rPr>
            <sz val="8"/>
            <color indexed="81"/>
            <rFont val="Tahoma"/>
            <family val="2"/>
            <charset val="161"/>
          </rPr>
          <t xml:space="preserve">Μετάτρεψε το κλάσμα σε ισοδύναμο κλάσμα με παρονομαστή 100.
</t>
        </r>
      </text>
    </comment>
    <comment ref="F296" authorId="0">
      <text>
        <r>
          <rPr>
            <b/>
            <sz val="8"/>
            <color indexed="81"/>
            <rFont val="Tahoma"/>
            <family val="2"/>
            <charset val="161"/>
          </rPr>
          <t>Γράφουμε το ποσοστό.</t>
        </r>
        <r>
          <rPr>
            <sz val="8"/>
            <color indexed="81"/>
            <rFont val="Tahoma"/>
            <family val="2"/>
            <charset val="161"/>
          </rPr>
          <t xml:space="preserve">
</t>
        </r>
      </text>
    </comment>
  </commentList>
</comments>
</file>

<file path=xl/comments5.xml><?xml version="1.0" encoding="utf-8"?>
<comments xmlns="http://schemas.openxmlformats.org/spreadsheetml/2006/main">
  <authors>
    <author>a</author>
  </authors>
  <commentList>
    <comment ref="M6" authorId="0">
      <text>
        <r>
          <rPr>
            <sz val="8"/>
            <color indexed="81"/>
            <rFont val="Tahoma"/>
            <family val="2"/>
            <charset val="161"/>
          </rPr>
          <t xml:space="preserve">Γράψε αριθμητή μικρότερο από τον παρονομαστή.
</t>
        </r>
      </text>
    </comment>
    <comment ref="M7" authorId="0">
      <text>
        <r>
          <rPr>
            <b/>
            <sz val="8"/>
            <color indexed="81"/>
            <rFont val="Tahoma"/>
            <family val="2"/>
            <charset val="161"/>
          </rPr>
          <t>Ο παρονομαστής σου πρέπει να είναι 2 ή 4 ή 5 ή 10</t>
        </r>
        <r>
          <rPr>
            <sz val="8"/>
            <color indexed="81"/>
            <rFont val="Tahoma"/>
            <family val="2"/>
            <charset val="161"/>
          </rPr>
          <t xml:space="preserve">
</t>
        </r>
      </text>
    </comment>
    <comment ref="F22" authorId="0">
      <text>
        <r>
          <rPr>
            <sz val="8"/>
            <color indexed="81"/>
            <rFont val="Tahoma"/>
            <family val="2"/>
            <charset val="161"/>
          </rPr>
          <t xml:space="preserve">Γράψε τον αριθμητή που λείπει.
</t>
        </r>
      </text>
    </comment>
    <comment ref="J22" authorId="0">
      <text>
        <r>
          <rPr>
            <sz val="8"/>
            <color indexed="81"/>
            <rFont val="Tahoma"/>
            <family val="2"/>
            <charset val="161"/>
          </rPr>
          <t xml:space="preserve">Γράψε τον αριθμητή που λείπει.
</t>
        </r>
      </text>
    </comment>
    <comment ref="N22" authorId="0">
      <text>
        <r>
          <rPr>
            <sz val="8"/>
            <color indexed="81"/>
            <rFont val="Tahoma"/>
            <family val="2"/>
            <charset val="161"/>
          </rPr>
          <t xml:space="preserve">Γράψε τον αριθμητή που λείπει.
</t>
        </r>
      </text>
    </comment>
    <comment ref="R22" authorId="0">
      <text>
        <r>
          <rPr>
            <sz val="8"/>
            <color indexed="81"/>
            <rFont val="Tahoma"/>
            <family val="2"/>
            <charset val="161"/>
          </rPr>
          <t xml:space="preserve">Γράψε τον αριθμητή που λείπει.
</t>
        </r>
      </text>
    </comment>
    <comment ref="V22" authorId="0">
      <text>
        <r>
          <rPr>
            <sz val="8"/>
            <color indexed="81"/>
            <rFont val="Tahoma"/>
            <family val="2"/>
            <charset val="161"/>
          </rPr>
          <t xml:space="preserve">Γράψε τον αριθμητή που λείπει.
</t>
        </r>
      </text>
    </comment>
    <comment ref="F23" authorId="0">
      <text>
        <r>
          <rPr>
            <sz val="8"/>
            <color indexed="81"/>
            <rFont val="Tahoma"/>
            <family val="2"/>
          </rPr>
          <t>Γράψε τον παρονομαστή που λείπει.</t>
        </r>
        <r>
          <rPr>
            <sz val="8"/>
            <color indexed="81"/>
            <rFont val="Tahoma"/>
            <family val="2"/>
            <charset val="161"/>
          </rPr>
          <t xml:space="preserve">
</t>
        </r>
      </text>
    </comment>
    <comment ref="J23" authorId="0">
      <text>
        <r>
          <rPr>
            <sz val="8"/>
            <color indexed="81"/>
            <rFont val="Tahoma"/>
            <family val="2"/>
          </rPr>
          <t>Γράψε τον παρονομαστή που λείπει.</t>
        </r>
        <r>
          <rPr>
            <sz val="8"/>
            <color indexed="81"/>
            <rFont val="Tahoma"/>
            <family val="2"/>
            <charset val="161"/>
          </rPr>
          <t xml:space="preserve">
</t>
        </r>
      </text>
    </comment>
    <comment ref="N23" authorId="0">
      <text>
        <r>
          <rPr>
            <sz val="8"/>
            <color indexed="81"/>
            <rFont val="Tahoma"/>
            <family val="2"/>
          </rPr>
          <t>Γράψε τον παρονομαστή που λείπει.</t>
        </r>
        <r>
          <rPr>
            <sz val="8"/>
            <color indexed="81"/>
            <rFont val="Tahoma"/>
            <family val="2"/>
            <charset val="161"/>
          </rPr>
          <t xml:space="preserve">
</t>
        </r>
      </text>
    </comment>
    <comment ref="R23" authorId="0">
      <text>
        <r>
          <rPr>
            <sz val="8"/>
            <color indexed="81"/>
            <rFont val="Tahoma"/>
            <family val="2"/>
          </rPr>
          <t>Γράψε τον παρονομαστή που λείπει.</t>
        </r>
        <r>
          <rPr>
            <sz val="8"/>
            <color indexed="81"/>
            <rFont val="Tahoma"/>
            <family val="2"/>
            <charset val="161"/>
          </rPr>
          <t xml:space="preserve">
</t>
        </r>
      </text>
    </comment>
    <comment ref="V23" authorId="0">
      <text>
        <r>
          <rPr>
            <sz val="8"/>
            <color indexed="81"/>
            <rFont val="Tahoma"/>
            <family val="2"/>
          </rPr>
          <t>Γράψε τον παρονομαστή που λείπει.</t>
        </r>
        <r>
          <rPr>
            <sz val="8"/>
            <color indexed="81"/>
            <rFont val="Tahoma"/>
            <family val="2"/>
            <charset val="161"/>
          </rPr>
          <t xml:space="preserve">
</t>
        </r>
      </text>
    </comment>
    <comment ref="D30" authorId="0">
      <text>
        <r>
          <rPr>
            <sz val="8"/>
            <color indexed="81"/>
            <rFont val="Tahoma"/>
            <family val="2"/>
            <charset val="161"/>
          </rPr>
          <t xml:space="preserve">Γράψε το δεκαδικό που λείπει.
</t>
        </r>
      </text>
    </comment>
    <comment ref="H30" authorId="0">
      <text>
        <r>
          <rPr>
            <sz val="8"/>
            <color indexed="81"/>
            <rFont val="Tahoma"/>
            <family val="2"/>
            <charset val="161"/>
          </rPr>
          <t xml:space="preserve">Γράψε το δεκαδικό που λείπει.
</t>
        </r>
      </text>
    </comment>
    <comment ref="L30" authorId="0">
      <text>
        <r>
          <rPr>
            <sz val="8"/>
            <color indexed="81"/>
            <rFont val="Tahoma"/>
            <family val="2"/>
            <charset val="161"/>
          </rPr>
          <t xml:space="preserve">Γράψε το δεκαδικό που λείπει.
</t>
        </r>
      </text>
    </comment>
    <comment ref="P30" authorId="0">
      <text>
        <r>
          <rPr>
            <sz val="8"/>
            <color indexed="81"/>
            <rFont val="Tahoma"/>
            <family val="2"/>
            <charset val="161"/>
          </rPr>
          <t xml:space="preserve">Γράψε το δεκαδικό που λείπει.
</t>
        </r>
      </text>
    </comment>
    <comment ref="T30" authorId="0">
      <text>
        <r>
          <rPr>
            <sz val="8"/>
            <color indexed="81"/>
            <rFont val="Tahoma"/>
            <family val="2"/>
            <charset val="161"/>
          </rPr>
          <t xml:space="preserve">Γράψε το δεκαδικό που λείπει.
</t>
        </r>
      </text>
    </comment>
    <comment ref="F38" authorId="0">
      <text>
        <r>
          <rPr>
            <sz val="8"/>
            <color indexed="81"/>
            <rFont val="Tahoma"/>
            <family val="2"/>
            <charset val="161"/>
          </rPr>
          <t xml:space="preserve">Γράψετον αριθμητή που λείπει.
</t>
        </r>
      </text>
    </comment>
    <comment ref="J38" authorId="0">
      <text>
        <r>
          <rPr>
            <sz val="8"/>
            <color indexed="81"/>
            <rFont val="Tahoma"/>
            <family val="2"/>
            <charset val="161"/>
          </rPr>
          <t xml:space="preserve">Γράψε αριθμητή μικρότερο από τον παρονομαστή.
</t>
        </r>
      </text>
    </comment>
    <comment ref="N38" authorId="0">
      <text>
        <r>
          <rPr>
            <sz val="8"/>
            <color indexed="81"/>
            <rFont val="Tahoma"/>
            <family val="2"/>
            <charset val="161"/>
          </rPr>
          <t xml:space="preserve">Γράψε αριθμητή μικρότερο από τον παρονομαστή.
</t>
        </r>
      </text>
    </comment>
    <comment ref="R38" authorId="0">
      <text>
        <r>
          <rPr>
            <sz val="8"/>
            <color indexed="81"/>
            <rFont val="Tahoma"/>
            <family val="2"/>
            <charset val="161"/>
          </rPr>
          <t xml:space="preserve">Γράψε αριθμητή μικρότερο από τον παρονομαστή.
</t>
        </r>
      </text>
    </comment>
    <comment ref="V38" authorId="0">
      <text>
        <r>
          <rPr>
            <sz val="8"/>
            <color indexed="81"/>
            <rFont val="Tahoma"/>
            <family val="2"/>
            <charset val="161"/>
          </rPr>
          <t xml:space="preserve">Γράψε αριθμητή μικρότερο από τον παρονομαστή.
</t>
        </r>
      </text>
    </comment>
    <comment ref="F39" authorId="0">
      <text>
        <r>
          <rPr>
            <sz val="8"/>
            <color indexed="81"/>
            <rFont val="Tahoma"/>
            <family val="2"/>
          </rPr>
          <t>Γράψε τον παρονομαστή που λείπει.</t>
        </r>
        <r>
          <rPr>
            <sz val="8"/>
            <color indexed="81"/>
            <rFont val="Tahoma"/>
            <family val="2"/>
            <charset val="161"/>
          </rPr>
          <t xml:space="preserve">
</t>
        </r>
      </text>
    </comment>
    <comment ref="J39" authorId="0">
      <text>
        <r>
          <rPr>
            <sz val="8"/>
            <color indexed="81"/>
            <rFont val="Tahoma"/>
            <family val="2"/>
          </rPr>
          <t>Γράψε τον παρονομαστή που λείπει.</t>
        </r>
        <r>
          <rPr>
            <sz val="8"/>
            <color indexed="81"/>
            <rFont val="Tahoma"/>
            <family val="2"/>
            <charset val="161"/>
          </rPr>
          <t xml:space="preserve">
</t>
        </r>
      </text>
    </comment>
    <comment ref="N39" authorId="0">
      <text>
        <r>
          <rPr>
            <sz val="8"/>
            <color indexed="81"/>
            <rFont val="Tahoma"/>
            <family val="2"/>
          </rPr>
          <t>Γράψε τον παρονομαστή που λείπει.</t>
        </r>
        <r>
          <rPr>
            <sz val="8"/>
            <color indexed="81"/>
            <rFont val="Tahoma"/>
            <family val="2"/>
            <charset val="161"/>
          </rPr>
          <t xml:space="preserve">
</t>
        </r>
      </text>
    </comment>
    <comment ref="R39" authorId="0">
      <text>
        <r>
          <rPr>
            <sz val="8"/>
            <color indexed="81"/>
            <rFont val="Tahoma"/>
            <family val="2"/>
          </rPr>
          <t>Γράψε τον παρονομαστή που λείπει.</t>
        </r>
        <r>
          <rPr>
            <sz val="8"/>
            <color indexed="81"/>
            <rFont val="Tahoma"/>
            <family val="2"/>
            <charset val="161"/>
          </rPr>
          <t xml:space="preserve">
</t>
        </r>
      </text>
    </comment>
    <comment ref="V39" authorId="0">
      <text>
        <r>
          <rPr>
            <sz val="8"/>
            <color indexed="81"/>
            <rFont val="Tahoma"/>
            <family val="2"/>
          </rPr>
          <t>Γράψε τον παρονομαστή που λείπει.</t>
        </r>
        <r>
          <rPr>
            <sz val="8"/>
            <color indexed="81"/>
            <rFont val="Tahoma"/>
            <family val="2"/>
            <charset val="161"/>
          </rPr>
          <t xml:space="preserve">
</t>
        </r>
      </text>
    </comment>
    <comment ref="D46" authorId="0">
      <text>
        <r>
          <rPr>
            <sz val="8"/>
            <color indexed="81"/>
            <rFont val="Tahoma"/>
            <family val="2"/>
            <charset val="161"/>
          </rPr>
          <t xml:space="preserve">Γράψε το δεκαδικό που λείπει.
</t>
        </r>
      </text>
    </comment>
    <comment ref="H46" authorId="0">
      <text>
        <r>
          <rPr>
            <sz val="8"/>
            <color indexed="81"/>
            <rFont val="Tahoma"/>
            <family val="2"/>
            <charset val="161"/>
          </rPr>
          <t xml:space="preserve">Γράψε το δεκαδικό που λείπει.
</t>
        </r>
      </text>
    </comment>
    <comment ref="L46" authorId="0">
      <text>
        <r>
          <rPr>
            <sz val="8"/>
            <color indexed="81"/>
            <rFont val="Tahoma"/>
            <family val="2"/>
            <charset val="161"/>
          </rPr>
          <t xml:space="preserve">Γράψε το δεκαδικό που λείπει.
</t>
        </r>
      </text>
    </comment>
    <comment ref="P46" authorId="0">
      <text>
        <r>
          <rPr>
            <sz val="8"/>
            <color indexed="81"/>
            <rFont val="Tahoma"/>
            <family val="2"/>
            <charset val="161"/>
          </rPr>
          <t xml:space="preserve">Γράψε το δεκαδικό που λείπει.
</t>
        </r>
      </text>
    </comment>
    <comment ref="T46" authorId="0">
      <text>
        <r>
          <rPr>
            <sz val="8"/>
            <color indexed="81"/>
            <rFont val="Tahoma"/>
            <family val="2"/>
            <charset val="161"/>
          </rPr>
          <t xml:space="preserve">Γράψε το δεκαδικό που λείπει.
</t>
        </r>
      </text>
    </comment>
  </commentList>
</comments>
</file>

<file path=xl/comments6.xml><?xml version="1.0" encoding="utf-8"?>
<comments xmlns="http://schemas.openxmlformats.org/spreadsheetml/2006/main">
  <authors>
    <author>a</author>
  </authors>
  <commentList>
    <comment ref="K15" authorId="0">
      <text>
        <r>
          <rPr>
            <b/>
            <sz val="14"/>
            <color indexed="81"/>
            <rFont val="Tahoma"/>
            <family val="2"/>
          </rPr>
          <t>Τα κλάσματα οι δεκαδικοί και τα ποσοστά είναι τρίδυμα αδέλφια. Μοιάζουν με τρεις ίδιες σταγόνες νερού.
Τα κλάσματα, οι δεκαδικοί και τα ποσοστά,
μας δείχνουν το ίδιο πράγμα με τρεις διαφορετικούς τρόπους. Ένα κλάσμα μπορεί να μεταμορφωθεί σα δεκαδικός ή σαν ποσοστό και αντίστροφα.</t>
        </r>
        <r>
          <rPr>
            <sz val="14"/>
            <color indexed="81"/>
            <rFont val="Tahoma"/>
            <family val="2"/>
          </rPr>
          <t xml:space="preserve">
</t>
        </r>
      </text>
    </comment>
    <comment ref="C29"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H29" authorId="0">
      <text>
        <r>
          <rPr>
            <b/>
            <sz val="11"/>
            <color indexed="81"/>
            <rFont val="Tahoma"/>
            <family val="2"/>
          </rPr>
          <t>Να ΄μαι με τη στολή του δεκαδικού.
Πώς έγινα έτσι;
Αυτό μπορείς να το βρεις με δυο τρόπους:
α) Κάνε το κλάσμα να έχει παρονομαστή 10, 100 ή 1000. Μετά γράψε με σα δεκαδικό.
β) Αν πάλι δεν υπάρχει δυνατότητα να με κάνεις να έχω παρονομαστή, 10 ή 100 ή 1000 τότε διαίρεσε τον αριθμητή με τον παρονομαστή μου και τότε θα με δεις αμέσως μπροστά σου.</t>
        </r>
        <r>
          <rPr>
            <sz val="11"/>
            <color indexed="81"/>
            <rFont val="Tahoma"/>
            <family val="2"/>
          </rPr>
          <t xml:space="preserve">
</t>
        </r>
      </text>
    </comment>
    <comment ref="L29" authorId="0">
      <text>
        <r>
          <rPr>
            <b/>
            <sz val="11"/>
            <color indexed="81"/>
            <rFont val="Tahoma"/>
            <family val="2"/>
          </rPr>
          <t>Να ΄μαι και σαν ποσοστό.
Πώς έγινα έτσι;
Είναι απλό. Ποσοστό είναι το κλάσμα που έχει παρονομαστή 100.
Για να με βρεις υπάρχουν δύο τρόποι:
Κάνε το κλάσμα να έχει παρονομαστή 100.
Αν δεν μπορεί να γίνει αυτό, κάνε το κλάσμα δεκαδικό και γράψε πόσα εκατοστά έχει.</t>
        </r>
      </text>
    </comment>
    <comment ref="C30"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C66"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H66" authorId="0">
      <text>
        <r>
          <rPr>
            <b/>
            <sz val="11"/>
            <color indexed="81"/>
            <rFont val="Tahoma"/>
            <family val="2"/>
          </rPr>
          <t>Να ΄μαι με τη στολή του δεκαδικού.
Πώς έγινα έτσι;
Αυτό μπορείς να το βρεις με δυο τρόπους:
α) Κάνε το κλάσμα να έχει παρονομαστή 10, 100 ή 1000. Μετά γράψε με σα δεκαδικό.
β) Αν πάλι δεν υπάρχει δυνατότητα να με κάνεις να έχω παρονομαστή, 10 ή 100 ή 1000 τότε διαίρεσε τον αριθμητή με τον παρονομαστή μου και τότε θα με δεις αμέσως μπροστά σου.</t>
        </r>
        <r>
          <rPr>
            <sz val="11"/>
            <color indexed="81"/>
            <rFont val="Tahoma"/>
            <family val="2"/>
          </rPr>
          <t xml:space="preserve">
</t>
        </r>
      </text>
    </comment>
    <comment ref="L66" authorId="0">
      <text>
        <r>
          <rPr>
            <b/>
            <sz val="11"/>
            <color indexed="81"/>
            <rFont val="Tahoma"/>
            <family val="2"/>
          </rPr>
          <t>Να ΄μαι και σαν ποσοστό.
Πώς έγινα έτσι;
Είναι απλό. Ποσοστό είναι το κλάσμα που έχει παρονομαστή 100.
Για να με βρεις υπάρχουν δύο τρόποι:
Κάνε το κλάσμα να έχει παρονομαστή 100.
Αν δεν μπορεί να γίνει αυτό, κάνε το κλάσμα δεκαδικό και γράψε πόσα εκατοστά έχει.</t>
        </r>
      </text>
    </comment>
    <comment ref="C67"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C86"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H86" authorId="0">
      <text>
        <r>
          <rPr>
            <b/>
            <sz val="11"/>
            <color indexed="81"/>
            <rFont val="Tahoma"/>
            <family val="2"/>
          </rPr>
          <t>Να ΄μαι με τη στολή του δεκαδικού.
Πώς έγινα έτσι;
Αυτό μπορείς να το βρεις με δυο τρόπους:
α) Κάνε το κλάσμα να έχει παρονομαστή 10, 100 ή 1000. Μετά γράψε με σα δεκαδικό.
β) Αν πάλι δεν υπάρχει δυνατότητα να με κάνεις να έχω παρονομαστή, 10 ή 100 ή 1000 τότε διαίρεσε τον αριθμητή με τον παρονομαστή μου και τότε θα με δεις αμέσως μπροστά σου.</t>
        </r>
        <r>
          <rPr>
            <sz val="11"/>
            <color indexed="81"/>
            <rFont val="Tahoma"/>
            <family val="2"/>
          </rPr>
          <t xml:space="preserve">
</t>
        </r>
      </text>
    </comment>
    <comment ref="L86" authorId="0">
      <text>
        <r>
          <rPr>
            <b/>
            <sz val="11"/>
            <color indexed="81"/>
            <rFont val="Tahoma"/>
            <family val="2"/>
          </rPr>
          <t>Να ΄μαι και σαν ποσοστό.
Πώς έγινα έτσι;
Είναι απλό. Ποσοστό είναι το κλάσμα που έχει παρονομαστή 100.
Για να με βρεις υπάρχουν δύο τρόποι:
Κάνε το κλάσμα να έχει παρονομαστή 100.
Αν δεν μπορεί να γίνει αυτό, κάνε το κλάσμα δεκαδικό και γράψε πόσα εκατοστά έχει.</t>
        </r>
      </text>
    </comment>
    <comment ref="C87" authorId="0">
      <text>
        <r>
          <rPr>
            <b/>
            <sz val="8"/>
            <color indexed="81"/>
            <rFont val="Tahoma"/>
            <family val="2"/>
            <charset val="161"/>
          </rPr>
          <t>Γράψε τον παρονομαστή του κλάσματος.</t>
        </r>
        <r>
          <rPr>
            <sz val="8"/>
            <color indexed="81"/>
            <rFont val="Tahoma"/>
            <family val="2"/>
            <charset val="161"/>
          </rPr>
          <t xml:space="preserve">
</t>
        </r>
      </text>
    </comment>
    <comment ref="H105" authorId="0">
      <text>
        <r>
          <rPr>
            <b/>
            <sz val="11"/>
            <color indexed="81"/>
            <rFont val="Tahoma"/>
            <family val="2"/>
          </rPr>
          <t>Να ΄μαι με τη στολή του δεκαδικού.
Πώς έγινα έτσι;
Αυτό μπορείς να το βρεις με δυο τρόπους:
α) Κάνε το κλάσμα να έχει παρονομαστή 10, 100 ή 1000. Μετά γράψε με σα δεκαδικό.
β) Αν πάλι δεν υπάρχει δυνατότητα να με κάνεις να έχω παρονομαστή, 10 ή 100 ή 1000 τότε διαίρεσε τον αριθμητή με τον παρονομαστή μου και τότε θα με δεις αμέσως μπροστά σου.</t>
        </r>
        <r>
          <rPr>
            <sz val="11"/>
            <color indexed="81"/>
            <rFont val="Tahoma"/>
            <family val="2"/>
          </rPr>
          <t xml:space="preserve">
</t>
        </r>
      </text>
    </comment>
    <comment ref="L105" authorId="0">
      <text>
        <r>
          <rPr>
            <b/>
            <sz val="11"/>
            <color indexed="81"/>
            <rFont val="Tahoma"/>
            <family val="2"/>
          </rPr>
          <t>Να ΄μαι και σαν ποσοστό.
Πώς έγινα έτσι;
Είναι απλό. Ποσοστό είναι το κλάσμα που έχει παρονομαστή 100.
Για να με βρεις υπάρχουν δύο τρόποι:
Κάνε το κλάσμα να έχει παρονομαστή 100.
Αν δεν μπορεί να γίνει αυτό, κάνε το κλάσμα δεκαδικό και γράψε πόσα εκατοστά έχει.</t>
        </r>
      </text>
    </comment>
    <comment ref="C136" authorId="0">
      <text>
        <r>
          <rPr>
            <b/>
            <sz val="8"/>
            <color indexed="81"/>
            <rFont val="Tahoma"/>
            <family val="2"/>
            <charset val="161"/>
          </rPr>
          <t>Γράψε τον αριθμητή του κλάσματος.</t>
        </r>
        <r>
          <rPr>
            <sz val="8"/>
            <color indexed="81"/>
            <rFont val="Tahoma"/>
            <family val="2"/>
            <charset val="161"/>
          </rPr>
          <t xml:space="preserve">
</t>
        </r>
      </text>
    </comment>
    <comment ref="H136" authorId="0">
      <text>
        <r>
          <rPr>
            <b/>
            <sz val="11"/>
            <color indexed="81"/>
            <rFont val="Tahoma"/>
            <family val="2"/>
          </rPr>
          <t>Να ΄μαι με τη στολή του δεκαδικού.
Πώς έγινα έτσι;
Αυτό μπορείς να το βρεις με δυο τρόπους:
α) Κάνε το κλάσμα να έχει παρονομαστή 10, 100 ή 1000. Μετά γράψε με σα δεκαδικό.
β) Αν πάλι δεν υπάρχει δυνατότητα να με κάνεις να έχω παρονομαστή, 10 ή 100 ή 1000 τότε διαίρεσε τον αριθμητή με τον παρονομαστή μου και τότε θα με δεις αμέσως μπροστά σου.</t>
        </r>
        <r>
          <rPr>
            <sz val="11"/>
            <color indexed="81"/>
            <rFont val="Tahoma"/>
            <family val="2"/>
          </rPr>
          <t xml:space="preserve">
</t>
        </r>
      </text>
    </comment>
    <comment ref="L136" authorId="0">
      <text>
        <r>
          <rPr>
            <b/>
            <sz val="11"/>
            <color indexed="81"/>
            <rFont val="Tahoma"/>
            <family val="2"/>
          </rPr>
          <t>Να ΄μαι και σαν ποσοστό.
Πώς έγινα έτσι;
Είναι απλό. Ποσοστό είναι το κλάσμα που έχει παρονομαστή 100.
Για να με βρεις υπάρχουν δύο τρόποι:
Κάνε το κλάσμα να έχει παρονομαστή 100.
Αν δεν μπορεί να γίνει αυτό, κάνε το κλάσμα δεκαδικό και γράψε πόσα εκατοστά έχει.</t>
        </r>
      </text>
    </comment>
    <comment ref="C137" authorId="0">
      <text>
        <r>
          <rPr>
            <b/>
            <sz val="8"/>
            <color indexed="81"/>
            <rFont val="Tahoma"/>
            <family val="2"/>
            <charset val="161"/>
          </rPr>
          <t>Γράψε τον παρονομαστή του κλάσματος. Για να λειτουργήσει η μηχανή, ο παρονομαστής πρέπει να μπορεί να χωρά ακριβώς στο 10,100 ή 1000</t>
        </r>
        <r>
          <rPr>
            <sz val="8"/>
            <color indexed="81"/>
            <rFont val="Tahoma"/>
            <family val="2"/>
            <charset val="161"/>
          </rPr>
          <t xml:space="preserve">
</t>
        </r>
      </text>
    </comment>
  </commentList>
</comments>
</file>

<file path=xl/comments7.xml><?xml version="1.0" encoding="utf-8"?>
<comments xmlns="http://schemas.openxmlformats.org/spreadsheetml/2006/main">
  <authors>
    <author>a</author>
  </authors>
  <commentList>
    <comment ref="E6" authorId="0">
      <text>
        <r>
          <rPr>
            <b/>
            <sz val="8"/>
            <color indexed="81"/>
            <rFont val="Tahoma"/>
            <family val="2"/>
            <charset val="161"/>
          </rPr>
          <t>Γράψε τον αριθμητή του κλάσματος</t>
        </r>
      </text>
    </comment>
    <comment ref="AE6" authorId="0">
      <text>
        <r>
          <rPr>
            <b/>
            <sz val="8"/>
            <color indexed="81"/>
            <rFont val="Tahoma"/>
            <family val="2"/>
            <charset val="161"/>
          </rPr>
          <t>Γράψε το δεκαδικό μέχρι 2 ακέραιες μονάδες.</t>
        </r>
        <r>
          <rPr>
            <sz val="8"/>
            <color indexed="81"/>
            <rFont val="Tahoma"/>
            <family val="2"/>
            <charset val="161"/>
          </rPr>
          <t xml:space="preserve">
</t>
        </r>
      </text>
    </comment>
    <comment ref="AY6" authorId="0">
      <text>
        <r>
          <rPr>
            <b/>
            <sz val="8"/>
            <color indexed="81"/>
            <rFont val="Tahoma"/>
            <family val="2"/>
            <charset val="161"/>
          </rPr>
          <t>Γράψε το ποσοστό αξίας μέχρι δύο ακέραιες μονάδες.</t>
        </r>
      </text>
    </comment>
    <comment ref="E7" authorId="0">
      <text>
        <r>
          <rPr>
            <b/>
            <sz val="8"/>
            <color indexed="81"/>
            <rFont val="Tahoma"/>
            <family val="2"/>
            <charset val="161"/>
          </rPr>
          <t>Γράψε τον παρονομαστή του κλάσματος</t>
        </r>
      </text>
    </comment>
    <comment ref="F9" authorId="0">
      <text>
        <r>
          <rPr>
            <b/>
            <sz val="8"/>
            <color indexed="81"/>
            <rFont val="Tahoma"/>
            <family val="2"/>
            <charset val="161"/>
          </rPr>
          <t>Η μηχανή δέχεται κλάσματα που έχουν αξία μέχρι και 2 ακέραιες μονάδες.
Η μηχανή δεν μπορεί να σου δείξει ακριβώς κλάσματα με παρονομαστή 3 ή 6 ή 7 ή 9 ή άλλο παρονομαστή που δεν μπαίνει ακριβώς στο 100.</t>
        </r>
        <r>
          <rPr>
            <sz val="8"/>
            <color indexed="81"/>
            <rFont val="Tahoma"/>
            <family val="2"/>
            <charset val="161"/>
          </rPr>
          <t xml:space="preserve">
</t>
        </r>
      </text>
    </comment>
    <comment ref="AC9" authorId="0">
      <text>
        <r>
          <rPr>
            <b/>
            <sz val="8"/>
            <color indexed="81"/>
            <rFont val="Tahoma"/>
            <family val="2"/>
            <charset val="161"/>
          </rPr>
          <t xml:space="preserve">Η μηχανή δέχεται ΔΕΚΑΔΙΚΟΥΣ που έχουν αξία μέχρι και 2 ακέραιες μονάδες.
</t>
        </r>
        <r>
          <rPr>
            <sz val="8"/>
            <color indexed="81"/>
            <rFont val="Tahoma"/>
            <family val="2"/>
            <charset val="161"/>
          </rPr>
          <t xml:space="preserve">
</t>
        </r>
      </text>
    </comment>
    <comment ref="BA9" authorId="0">
      <text>
        <r>
          <rPr>
            <b/>
            <sz val="8"/>
            <color indexed="81"/>
            <rFont val="Tahoma"/>
            <family val="2"/>
            <charset val="161"/>
          </rPr>
          <t xml:space="preserve">Η μηχανή δέχεται ΠΟΣΟΣΤΑ που έχουν αξία μέχρι και 2 ακέραιες μονάδες.
</t>
        </r>
        <r>
          <rPr>
            <sz val="8"/>
            <color indexed="81"/>
            <rFont val="Tahoma"/>
            <family val="2"/>
            <charset val="161"/>
          </rPr>
          <t xml:space="preserve">
</t>
        </r>
      </text>
    </comment>
    <comment ref="R25" authorId="0">
      <text>
        <r>
          <rPr>
            <b/>
            <sz val="8"/>
            <color indexed="81"/>
            <rFont val="Tahoma"/>
            <family val="2"/>
            <charset val="161"/>
          </rPr>
          <t>Συγγραφέας: Κύπρος Ιωάννου</t>
        </r>
        <r>
          <rPr>
            <sz val="8"/>
            <color indexed="81"/>
            <rFont val="Tahoma"/>
            <family val="2"/>
            <charset val="161"/>
          </rPr>
          <t xml:space="preserve">
</t>
        </r>
      </text>
    </comment>
  </commentList>
</comments>
</file>

<file path=xl/comments8.xml><?xml version="1.0" encoding="utf-8"?>
<comments xmlns="http://schemas.openxmlformats.org/spreadsheetml/2006/main">
  <authors>
    <author>a</author>
    <author>Kypros</author>
  </authors>
  <commentList>
    <comment ref="E8" authorId="0">
      <text>
        <r>
          <rPr>
            <sz val="8"/>
            <color indexed="81"/>
            <rFont val="Tahoma"/>
            <family val="2"/>
            <charset val="161"/>
          </rPr>
          <t xml:space="preserve">Μετάτρεψε το ποσοστό σε κλάσμα κλάσμα με παρονομαστή 100.
</t>
        </r>
      </text>
    </comment>
    <comment ref="G8" authorId="0">
      <text>
        <r>
          <rPr>
            <sz val="8"/>
            <color indexed="81"/>
            <rFont val="Tahoma"/>
            <family val="2"/>
            <charset val="161"/>
          </rPr>
          <t xml:space="preserve">Γράψε το κλάσμα ως δεκαδικό.
</t>
        </r>
      </text>
    </comment>
    <comment ref="E12" authorId="0">
      <text>
        <r>
          <rPr>
            <sz val="8"/>
            <color indexed="81"/>
            <rFont val="Tahoma"/>
            <family val="2"/>
            <charset val="161"/>
          </rPr>
          <t xml:space="preserve">Μετάτρεψε το ποσοστό  σε κλάσμα με παρονομαστή 100 .
</t>
        </r>
      </text>
    </comment>
    <comment ref="G12" authorId="0">
      <text>
        <r>
          <rPr>
            <sz val="8"/>
            <color indexed="81"/>
            <rFont val="Tahoma"/>
            <family val="2"/>
            <charset val="161"/>
          </rPr>
          <t xml:space="preserve">Απλοποίησε
</t>
        </r>
      </text>
    </comment>
    <comment ref="E16" authorId="0">
      <text>
        <r>
          <rPr>
            <sz val="8"/>
            <color indexed="81"/>
            <rFont val="Tahoma"/>
            <family val="2"/>
            <charset val="161"/>
          </rPr>
          <t xml:space="preserve">Μετάτρεψε το ποσοστό σε κλάσμα με παρονομαστή 100.
</t>
        </r>
      </text>
    </comment>
    <comment ref="E20" authorId="0">
      <text>
        <r>
          <rPr>
            <sz val="8"/>
            <color indexed="81"/>
            <rFont val="Tahoma"/>
            <family val="2"/>
            <charset val="161"/>
          </rPr>
          <t xml:space="preserve">Μετάτρεψε το ποσοστό σε κλάσμα με παρονομαστή 100.
</t>
        </r>
      </text>
    </comment>
    <comment ref="E24" authorId="0">
      <text>
        <r>
          <rPr>
            <sz val="8"/>
            <color indexed="81"/>
            <rFont val="Tahoma"/>
            <family val="2"/>
            <charset val="161"/>
          </rPr>
          <t xml:space="preserve">Μετάτρεψε το ποσοστό σε κλάσμα με παρονομαστή 100.
</t>
        </r>
      </text>
    </comment>
    <comment ref="E32" authorId="0">
      <text>
        <r>
          <rPr>
            <sz val="8"/>
            <color indexed="81"/>
            <rFont val="Tahoma"/>
            <family val="2"/>
            <charset val="161"/>
          </rPr>
          <t xml:space="preserve">Γράψε τον αριθμό που σου γράφω στο ποσοστό.
</t>
        </r>
      </text>
    </comment>
    <comment ref="G32" authorId="0">
      <text>
        <r>
          <rPr>
            <sz val="8"/>
            <color indexed="81"/>
            <rFont val="Tahoma"/>
            <family val="2"/>
            <charset val="161"/>
          </rPr>
          <t xml:space="preserve">Γράψε το κλάσμα ως δεκαδικό.
</t>
        </r>
      </text>
    </comment>
    <comment ref="E33"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36" authorId="0">
      <text>
        <r>
          <rPr>
            <sz val="8"/>
            <color indexed="81"/>
            <rFont val="Tahoma"/>
            <family val="2"/>
            <charset val="161"/>
          </rPr>
          <t xml:space="preserve">Γράψε τον αριθμό που σου γράφω στο ποσοστό.
</t>
        </r>
      </text>
    </comment>
    <comment ref="G36" authorId="0">
      <text>
        <r>
          <rPr>
            <sz val="8"/>
            <color indexed="81"/>
            <rFont val="Tahoma"/>
            <family val="2"/>
            <charset val="161"/>
          </rPr>
          <t xml:space="preserve">Γράψε το κλάσμα ως δεκαδικό.
</t>
        </r>
      </text>
    </comment>
    <comment ref="E37"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40" authorId="0">
      <text>
        <r>
          <rPr>
            <sz val="8"/>
            <color indexed="81"/>
            <rFont val="Tahoma"/>
            <family val="2"/>
            <charset val="161"/>
          </rPr>
          <t xml:space="preserve">Γράψε τον αριθμό που σου γράφω στο ποσοστό.
</t>
        </r>
      </text>
    </comment>
    <comment ref="G40" authorId="0">
      <text>
        <r>
          <rPr>
            <sz val="8"/>
            <color indexed="81"/>
            <rFont val="Tahoma"/>
            <family val="2"/>
            <charset val="161"/>
          </rPr>
          <t xml:space="preserve">Γράψε το κλάσμα ως δεκαδικό.
</t>
        </r>
      </text>
    </comment>
    <comment ref="E41"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44" authorId="0">
      <text>
        <r>
          <rPr>
            <sz val="8"/>
            <color indexed="81"/>
            <rFont val="Tahoma"/>
            <family val="2"/>
            <charset val="161"/>
          </rPr>
          <t xml:space="preserve">Γράψε τον αριθμό που σου γράφω στο ποσοστό.
</t>
        </r>
      </text>
    </comment>
    <comment ref="G44" authorId="0">
      <text>
        <r>
          <rPr>
            <sz val="8"/>
            <color indexed="81"/>
            <rFont val="Tahoma"/>
            <family val="2"/>
            <charset val="161"/>
          </rPr>
          <t xml:space="preserve">Γράψε το κλάσμα ως δεκαδικό.
</t>
        </r>
      </text>
    </comment>
    <comment ref="E45"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48" authorId="0">
      <text>
        <r>
          <rPr>
            <sz val="8"/>
            <color indexed="81"/>
            <rFont val="Tahoma"/>
            <family val="2"/>
            <charset val="161"/>
          </rPr>
          <t xml:space="preserve">Γράψε τον αριθμό που σου γράφω στο ποσοστό.
</t>
        </r>
      </text>
    </comment>
    <comment ref="G48" authorId="0">
      <text>
        <r>
          <rPr>
            <sz val="8"/>
            <color indexed="81"/>
            <rFont val="Tahoma"/>
            <family val="2"/>
            <charset val="161"/>
          </rPr>
          <t xml:space="preserve">Γράψε το κλάσμα ως δεκαδικό.
</t>
        </r>
      </text>
    </comment>
    <comment ref="E49"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52" authorId="0">
      <text>
        <r>
          <rPr>
            <sz val="8"/>
            <color indexed="81"/>
            <rFont val="Tahoma"/>
            <family val="2"/>
            <charset val="161"/>
          </rPr>
          <t xml:space="preserve">Γράψε τον αριθμό που σου γράφω στο ποσοστό.
</t>
        </r>
      </text>
    </comment>
    <comment ref="G52" authorId="0">
      <text>
        <r>
          <rPr>
            <sz val="8"/>
            <color indexed="81"/>
            <rFont val="Tahoma"/>
            <family val="2"/>
            <charset val="161"/>
          </rPr>
          <t xml:space="preserve">Γράψε το κλάσμα ως δεκαδικό.
</t>
        </r>
      </text>
    </comment>
    <comment ref="E53"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56" authorId="0">
      <text>
        <r>
          <rPr>
            <sz val="8"/>
            <color indexed="81"/>
            <rFont val="Tahoma"/>
            <family val="2"/>
            <charset val="161"/>
          </rPr>
          <t xml:space="preserve">Γράψε τον αριθμό που σου γράφω στο ποσοστό.
</t>
        </r>
      </text>
    </comment>
    <comment ref="G56" authorId="0">
      <text>
        <r>
          <rPr>
            <sz val="8"/>
            <color indexed="81"/>
            <rFont val="Tahoma"/>
            <family val="2"/>
            <charset val="161"/>
          </rPr>
          <t xml:space="preserve">Γράψε το κλάσμα ως δεκαδικό.
</t>
        </r>
      </text>
    </comment>
    <comment ref="E57"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60" authorId="0">
      <text>
        <r>
          <rPr>
            <sz val="8"/>
            <color indexed="81"/>
            <rFont val="Tahoma"/>
            <family val="2"/>
            <charset val="161"/>
          </rPr>
          <t xml:space="preserve">Γράψε τον αριθμό που σου γράφω στο ποσοστό.
</t>
        </r>
      </text>
    </comment>
    <comment ref="G60" authorId="0">
      <text>
        <r>
          <rPr>
            <sz val="8"/>
            <color indexed="81"/>
            <rFont val="Tahoma"/>
            <family val="2"/>
            <charset val="161"/>
          </rPr>
          <t xml:space="preserve">Γράψε το κλάσμα ως δεκαδικό.
</t>
        </r>
      </text>
    </comment>
    <comment ref="E61"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64" authorId="0">
      <text>
        <r>
          <rPr>
            <sz val="8"/>
            <color indexed="81"/>
            <rFont val="Tahoma"/>
            <family val="2"/>
            <charset val="161"/>
          </rPr>
          <t xml:space="preserve">Γράψε τον αριθμό που σου γράφω στο ποσοστό.
</t>
        </r>
      </text>
    </comment>
    <comment ref="G64" authorId="0">
      <text>
        <r>
          <rPr>
            <sz val="8"/>
            <color indexed="81"/>
            <rFont val="Tahoma"/>
            <family val="2"/>
            <charset val="161"/>
          </rPr>
          <t xml:space="preserve">Γράψε το κλάσμα ως δεκαδικό.
</t>
        </r>
      </text>
    </comment>
    <comment ref="E65"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68" authorId="0">
      <text>
        <r>
          <rPr>
            <sz val="8"/>
            <color indexed="81"/>
            <rFont val="Tahoma"/>
            <family val="2"/>
            <charset val="161"/>
          </rPr>
          <t xml:space="preserve">Γράψε τον αριθμό που σου γράφω στο ποσοστό.
</t>
        </r>
      </text>
    </comment>
    <comment ref="G68" authorId="0">
      <text>
        <r>
          <rPr>
            <sz val="8"/>
            <color indexed="81"/>
            <rFont val="Tahoma"/>
            <family val="2"/>
            <charset val="161"/>
          </rPr>
          <t xml:space="preserve">Γράψε το κλάσμα ως δεκαδικό.
</t>
        </r>
      </text>
    </comment>
    <comment ref="E69" authorId="1">
      <text>
        <r>
          <rPr>
            <b/>
            <sz val="9"/>
            <color indexed="81"/>
            <rFont val="Tahoma"/>
            <family val="2"/>
            <charset val="161"/>
          </rPr>
          <t>Γράψε ως παρονομαστή το 100, αφού όλα τα ποσοστά έχουν παρονομαστή 100</t>
        </r>
        <r>
          <rPr>
            <sz val="9"/>
            <color indexed="81"/>
            <rFont val="Tahoma"/>
            <family val="2"/>
            <charset val="161"/>
          </rPr>
          <t xml:space="preserve">
</t>
        </r>
      </text>
    </comment>
    <comment ref="E77" authorId="0">
      <text>
        <r>
          <rPr>
            <sz val="8"/>
            <color indexed="81"/>
            <rFont val="Tahoma"/>
            <family val="2"/>
            <charset val="161"/>
          </rPr>
          <t xml:space="preserve">Γράψε το κλάσμα ως δεκαδικό.
</t>
        </r>
      </text>
    </comment>
    <comment ref="E81" authorId="0">
      <text>
        <r>
          <rPr>
            <sz val="8"/>
            <color indexed="81"/>
            <rFont val="Tahoma"/>
            <family val="2"/>
            <charset val="161"/>
          </rPr>
          <t xml:space="preserve">Γράψε το κλάσμα ως δεκαδικό.
</t>
        </r>
      </text>
    </comment>
    <comment ref="E85" authorId="0">
      <text>
        <r>
          <rPr>
            <sz val="8"/>
            <color indexed="81"/>
            <rFont val="Tahoma"/>
            <family val="2"/>
            <charset val="161"/>
          </rPr>
          <t xml:space="preserve">Γράψε το κλάσμα ως δεκαδικό.
</t>
        </r>
      </text>
    </comment>
    <comment ref="E89" authorId="0">
      <text>
        <r>
          <rPr>
            <sz val="8"/>
            <color indexed="81"/>
            <rFont val="Tahoma"/>
            <family val="2"/>
            <charset val="161"/>
          </rPr>
          <t xml:space="preserve">Γράψε το κλάσμα ως δεκαδικό.
</t>
        </r>
      </text>
    </comment>
    <comment ref="E93" authorId="0">
      <text>
        <r>
          <rPr>
            <sz val="8"/>
            <color indexed="81"/>
            <rFont val="Tahoma"/>
            <family val="2"/>
            <charset val="161"/>
          </rPr>
          <t xml:space="preserve">Γράψε το κλάσμα ως δεκαδικό.
</t>
        </r>
      </text>
    </comment>
    <comment ref="E97" authorId="0">
      <text>
        <r>
          <rPr>
            <sz val="8"/>
            <color indexed="81"/>
            <rFont val="Tahoma"/>
            <family val="2"/>
            <charset val="161"/>
          </rPr>
          <t xml:space="preserve">Γράψε το κλάσμα ως δεκαδικό.
</t>
        </r>
      </text>
    </comment>
    <comment ref="E101" authorId="0">
      <text>
        <r>
          <rPr>
            <sz val="8"/>
            <color indexed="81"/>
            <rFont val="Tahoma"/>
            <family val="2"/>
            <charset val="161"/>
          </rPr>
          <t xml:space="preserve">Γράψε το κλάσμα ως δεκαδικό.
</t>
        </r>
      </text>
    </comment>
    <comment ref="E105" authorId="0">
      <text>
        <r>
          <rPr>
            <sz val="8"/>
            <color indexed="81"/>
            <rFont val="Tahoma"/>
            <family val="2"/>
            <charset val="161"/>
          </rPr>
          <t xml:space="preserve">Γράψε το κλάσμα ως δεκαδικό.
</t>
        </r>
      </text>
    </comment>
    <comment ref="E109" authorId="0">
      <text>
        <r>
          <rPr>
            <sz val="8"/>
            <color indexed="81"/>
            <rFont val="Tahoma"/>
            <family val="2"/>
            <charset val="161"/>
          </rPr>
          <t xml:space="preserve">Γράψε το κλάσμα ως δεκαδικό.
</t>
        </r>
      </text>
    </comment>
    <comment ref="E113" authorId="0">
      <text>
        <r>
          <rPr>
            <sz val="8"/>
            <color indexed="81"/>
            <rFont val="Tahoma"/>
            <family val="2"/>
            <charset val="161"/>
          </rPr>
          <t xml:space="preserve">Γράψε το κλάσμα ως δεκαδικό.
</t>
        </r>
      </text>
    </comment>
  </commentList>
</comments>
</file>

<file path=xl/sharedStrings.xml><?xml version="1.0" encoding="utf-8"?>
<sst xmlns="http://schemas.openxmlformats.org/spreadsheetml/2006/main" count="461" uniqueCount="158">
  <si>
    <t>ο αριθμητής του να είναι μικρότερος ή ίσος τον παρονομαστή του.</t>
  </si>
  <si>
    <t>Υπόλοιπο διαίρεσης</t>
  </si>
  <si>
    <t>παρονομαστής</t>
  </si>
  <si>
    <t>ακέραιες μονάδες</t>
  </si>
  <si>
    <t xml:space="preserve">ακριβές πηλίκο </t>
  </si>
  <si>
    <t>Στο πρόγραμμα αυτό μπορείς να δεις κλάσματα μέχρι 30 ακέραιες μονάδες.</t>
  </si>
  <si>
    <t>Το κλάσμα που γράφεις φαίνεται στη μηχανή με μπλε χρώμα</t>
  </si>
  <si>
    <r>
      <t xml:space="preserve">ΠΡΟΣΕΞΕ: </t>
    </r>
    <r>
      <rPr>
        <b/>
        <sz val="14"/>
        <color indexed="10"/>
        <rFont val="Comic Sans MS"/>
        <family val="4"/>
      </rPr>
      <t xml:space="preserve">Σ΄ ΑΥΤΗ ΤΗ ΜΗΧΑΝΗ, </t>
    </r>
    <r>
      <rPr>
        <b/>
        <sz val="14"/>
        <rFont val="Comic Sans MS"/>
        <family val="4"/>
      </rPr>
      <t>για να δεις σωστά ένα κλάσμα πρέπει</t>
    </r>
  </si>
  <si>
    <t xml:space="preserve"> =</t>
  </si>
  <si>
    <t xml:space="preserve">Γράψε στο κίτρινο κουτάκι το κλάσμα που θέλεις και στο καφέ κουτάκι, </t>
  </si>
  <si>
    <t>μετάτρεψέ το σε δεκαδικό.</t>
  </si>
  <si>
    <t>ΠΡΟΣΕΞΕ</t>
  </si>
  <si>
    <t xml:space="preserve">Στην πιο κάτω αριθμητική γραμμή μπορείς να δεις απλά κλάσματα </t>
  </si>
  <si>
    <r>
      <t xml:space="preserve">με παρονομαστή </t>
    </r>
    <r>
      <rPr>
        <b/>
        <sz val="14"/>
        <color indexed="12"/>
        <rFont val="Comic Sans MS"/>
        <family val="4"/>
      </rPr>
      <t xml:space="preserve"> 2</t>
    </r>
    <r>
      <rPr>
        <b/>
        <sz val="14"/>
        <rFont val="Comic Sans MS"/>
        <family val="4"/>
      </rPr>
      <t xml:space="preserve"> ή </t>
    </r>
    <r>
      <rPr>
        <b/>
        <sz val="14"/>
        <color indexed="12"/>
        <rFont val="Comic Sans MS"/>
        <family val="4"/>
      </rPr>
      <t>4</t>
    </r>
    <r>
      <rPr>
        <b/>
        <sz val="14"/>
        <rFont val="Comic Sans MS"/>
        <family val="4"/>
      </rPr>
      <t xml:space="preserve"> ή </t>
    </r>
    <r>
      <rPr>
        <b/>
        <sz val="14"/>
        <color indexed="12"/>
        <rFont val="Comic Sans MS"/>
        <family val="4"/>
      </rPr>
      <t>5</t>
    </r>
    <r>
      <rPr>
        <b/>
        <sz val="14"/>
        <rFont val="Comic Sans MS"/>
        <family val="4"/>
      </rPr>
      <t xml:space="preserve"> ή </t>
    </r>
    <r>
      <rPr>
        <b/>
        <sz val="14"/>
        <color indexed="12"/>
        <rFont val="Comic Sans MS"/>
        <family val="4"/>
      </rPr>
      <t>10</t>
    </r>
    <r>
      <rPr>
        <b/>
        <sz val="14"/>
        <rFont val="Comic Sans MS"/>
        <family val="4"/>
      </rPr>
      <t xml:space="preserve"> ή</t>
    </r>
    <r>
      <rPr>
        <b/>
        <sz val="14"/>
        <color indexed="12"/>
        <rFont val="Comic Sans MS"/>
        <family val="4"/>
      </rPr>
      <t xml:space="preserve"> 20</t>
    </r>
    <r>
      <rPr>
        <b/>
        <sz val="14"/>
        <rFont val="Comic Sans MS"/>
        <family val="4"/>
      </rPr>
      <t>.</t>
    </r>
  </si>
  <si>
    <t>Μια φορά και έναν καιρό στη χώρα των αριθμών έφτασε το καρναβάλι</t>
  </si>
  <si>
    <t>το μεγάλο γεγονός.</t>
  </si>
  <si>
    <t xml:space="preserve">ΣΥΓΚΡΙΣΗ: Κλάσματα - ποσοστά - Δεκαδικοί </t>
  </si>
  <si>
    <t>Στην πιο κάτω μηχανή μπορείς να δεις κλάσματα, δεκαδικούς και ποσοστά</t>
  </si>
  <si>
    <t>Γράψε στα κουτάκια κλάσμα, δεκαδικό ή ποσοστό αξίας μέχρι 2 ακέραιες μονάδες.</t>
  </si>
  <si>
    <r>
      <t xml:space="preserve">σε επιφάνεια και </t>
    </r>
    <r>
      <rPr>
        <b/>
        <u/>
        <sz val="14"/>
        <rFont val="Comic Sans MS"/>
        <family val="4"/>
      </rPr>
      <t>να τα συγκρίνεις</t>
    </r>
    <r>
      <rPr>
        <b/>
        <sz val="14"/>
        <rFont val="Comic Sans MS"/>
        <family val="4"/>
      </rPr>
      <t xml:space="preserve">. </t>
    </r>
  </si>
  <si>
    <t>Κλάσματα, δεκαδικοί, ποσοστά και άλλοι</t>
  </si>
  <si>
    <t>Θέλαν σώνει και καλά να μεταμορφωθούνε</t>
  </si>
  <si>
    <t>ντύθηκαν τρελά τρελά για το καρναβάλι</t>
  </si>
  <si>
    <t xml:space="preserve">Μα όσο κι αν προσπάθησαν απ΄ όλους να κρυφούνε </t>
  </si>
  <si>
    <t>Τότε κλάσματα δεκαδικοί και ποσοστά αποφάσισαν να βάλουν στολές για να γιορτάσουν</t>
  </si>
  <si>
    <t>μην τους καταλάβουνε οι άλλοι σαν τους δούνε.</t>
  </si>
  <si>
    <t>όλοι τους αναγνώριζαν και τρέχαν να τους πούνε.</t>
  </si>
  <si>
    <t>Άλλαξε ο Μανολιός κι έβαλε τα ρούχα του αλλιώς.</t>
  </si>
  <si>
    <t>Μας το μάθαν στο σχολειό, μας το είπαν κι άλλοι</t>
  </si>
  <si>
    <t>Άγγιξε εδώ με το βελάκι για να δεις</t>
  </si>
  <si>
    <t>ένα μεγάλο μυστικό.</t>
  </si>
  <si>
    <t>πως τα κλάσματα οι δεκαδικοί τα ποσοστά και πάλι</t>
  </si>
  <si>
    <t>μια μορφή θα έχουνε και σ΄ αυτό το καρναβάλι.</t>
  </si>
  <si>
    <t xml:space="preserve">Γράψε στα γαλάζια κουτάκια το κλάσμα. Αμέσως θα δεις την άλλη μορφή που έχει </t>
  </si>
  <si>
    <t>Αν το βρεις σωστά, μια φατσούλα θα σου χαμογελάσει.</t>
  </si>
  <si>
    <t>Το καρναβάλι των αριθμών.</t>
  </si>
  <si>
    <t>Γράψε στο γαλάζιο κουτάκι κλάσματα μέχρι 3 ακέραιες μονάδες.</t>
  </si>
  <si>
    <t>Στην πιο κάτω μηχανή μπορείς να δεις κλάσματα σε επιφάνεια.</t>
  </si>
  <si>
    <t>Αυτόματα το κλάσμα θα μετατραπεί σε δεκαδικό.</t>
  </si>
  <si>
    <t>Συμπληρώστε τα κλάσματα και τους δεκαδικούς αριθμούς που λείπουν</t>
  </si>
  <si>
    <t>από τα κουτάκια</t>
  </si>
  <si>
    <t xml:space="preserve">Βλέποντας τα πιο κάτω σχήματα να βρείτε το κλάσμα και το δεκαδικό </t>
  </si>
  <si>
    <t>που καλύπτεται με κόκκινο χρώμα.</t>
  </si>
  <si>
    <t>1.</t>
  </si>
  <si>
    <t>2.</t>
  </si>
  <si>
    <t>3.</t>
  </si>
  <si>
    <t>4.</t>
  </si>
  <si>
    <t>5.</t>
  </si>
  <si>
    <t>6.</t>
  </si>
  <si>
    <t>7.</t>
  </si>
  <si>
    <t>8.</t>
  </si>
  <si>
    <t>9.</t>
  </si>
  <si>
    <t>10.</t>
  </si>
  <si>
    <t>Συγγραφέας: Κύπρος Ιωάννου</t>
  </si>
  <si>
    <t>α)</t>
  </si>
  <si>
    <t>β)</t>
  </si>
  <si>
    <t>γ)</t>
  </si>
  <si>
    <t>δ)</t>
  </si>
  <si>
    <t>ε)</t>
  </si>
  <si>
    <t>ΒΟΗΘΕΙΑ</t>
  </si>
  <si>
    <t>στ)</t>
  </si>
  <si>
    <t>ζ)</t>
  </si>
  <si>
    <t>η)</t>
  </si>
  <si>
    <t>θ)</t>
  </si>
  <si>
    <t>ι)</t>
  </si>
  <si>
    <t>Μετατροπή κλάσματος σε δεκαδικό.</t>
  </si>
  <si>
    <t>Μετατροπή κλάσματος σε ποσοστό.</t>
  </si>
  <si>
    <t>ΠΑΡΑΔΕΙΓΜΑ:</t>
  </si>
  <si>
    <t>από τα 20</t>
  </si>
  <si>
    <t>Εξάσκηση</t>
  </si>
  <si>
    <t>ΠΑΡΑΔΕΙΓΜΑΤΑ:</t>
  </si>
  <si>
    <t xml:space="preserve">Για να μετατρέψουμε ένα κλάσμα σε δεκαδικό πρέπει να </t>
  </si>
  <si>
    <t>το κάνουμε να έχει παρονομαστή δέκα , εκατό, ή πολλαπλάσιό τους</t>
  </si>
  <si>
    <t>Αν δεν μπορώ να το κάνω αυτό διαιρώ τον αριθμητή και τον παρονομαστή</t>
  </si>
  <si>
    <t>του κλάσματος</t>
  </si>
  <si>
    <t>KΛΑΣΜΑ</t>
  </si>
  <si>
    <t>ΔΕΚΑΔΙΚΟΣ</t>
  </si>
  <si>
    <t>Για να μετατρέψουμε ένα κλάσμα σε δεκαδικό μπορούμε να εργαστούμε</t>
  </si>
  <si>
    <t>με τους εξής τρόπους:</t>
  </si>
  <si>
    <t xml:space="preserve">α) Αν μπορούμε να μετατρέψουμε το κλάσμα σε ισοδύναμο κλάσμα, </t>
  </si>
  <si>
    <t>το κλάσμα σε δεκαδικό.</t>
  </si>
  <si>
    <t xml:space="preserve">β) Αν το κλάσμα έχει παρονομαστή κάποιο αριθμό που δε χωρά ακριβώς </t>
  </si>
  <si>
    <t xml:space="preserve">τότε αναγκαστικά θα διαιρέσουμε τον αριθμητή του κλάσματος διά </t>
  </si>
  <si>
    <t>τον παρονομαστή και θα βρούμε αμέσως το δεκαδικό.</t>
  </si>
  <si>
    <t>Φυσικά αυτή τη διαδικασία μπορούμε να την ακολουθήσουμε για όλα</t>
  </si>
  <si>
    <t>τα κλάσματα, ανεξάρτητα από το ποιος είναι ο παρονομαστής τους.</t>
  </si>
  <si>
    <t>,</t>
  </si>
  <si>
    <t>εντούτοις αν απλοποιηθεί το κλάσμα μπορεί αυτό στη συνέχεια να γίνει</t>
  </si>
  <si>
    <t>ισοδύναμο κλάσμα με παρονομαστή 10, 100 ή 1000.</t>
  </si>
  <si>
    <t>ΠΑΡΑΔΕΙΓΜΑ</t>
  </si>
  <si>
    <r>
      <t>ΠΑΡΑΤΗΡΗΣΗ:</t>
    </r>
    <r>
      <rPr>
        <b/>
        <sz val="12"/>
        <rFont val="Comic Sans MS"/>
        <family val="4"/>
      </rPr>
      <t xml:space="preserve"> Υπάρχουν περιπτώσεις κλασμάτων που ενώ φαίνεται ότι ο</t>
    </r>
  </si>
  <si>
    <t>1. Να μετατρέψετε τα πιο κάτω κλάσματα σε δεκαδικούς.</t>
  </si>
  <si>
    <t>ΠΡΟΣΕΞΕΤΕ: Ο παρονομαστής μπορεί να πηγαίνει ακριβώς στο 10, 100 ή 1000.</t>
  </si>
  <si>
    <t>Αν όμως θες μπορείς να κάνεις και διαίρεση.</t>
  </si>
  <si>
    <t>ΠΡΟΣΕΞΕΤΕ: Ο παρονομαστής δεν μπορεί να πηγαίνει ακριβώς στο 10, 100 ή 1000.</t>
  </si>
  <si>
    <t>Πρέπει να κάνεις και διαίρεση.</t>
  </si>
  <si>
    <t>Όταν κάνεις τη διαίρεση, η απάντησή σου γράφεται αυτόματα στο κίτρινο κουτάκι.</t>
  </si>
  <si>
    <t>Γράφε μόνο στα πράσινα κουτάκια που πρέπει.</t>
  </si>
  <si>
    <t>2. Να μετατρέψετε τα πιο κάτω κλάσματα σε δεκαδικούς.</t>
  </si>
  <si>
    <t>Αν θες παρόμοιες ασκήσεις</t>
  </si>
  <si>
    <t>πάτησε πιο κάτω</t>
  </si>
  <si>
    <t>ΟΡΘΑ:</t>
  </si>
  <si>
    <t>%</t>
  </si>
  <si>
    <t>Η απάντησή σου γράφεται αυτόματα στο κίτρινο κουτάκι.</t>
  </si>
  <si>
    <t>ΟΡΘΑ</t>
  </si>
  <si>
    <t>από τα 10</t>
  </si>
  <si>
    <t>Αν όμως απλοποιήσεις τα κλάσματα, τότε μπορεί να πηγαίνει.</t>
  </si>
  <si>
    <t>Κάνε λοιπόν τις σωστές απλοποιήσεις και μετά κάνε το κλάσμα, δεκαδικό.</t>
  </si>
  <si>
    <t>3. Να μετατρέψετε τα πιο κάτω κλάσματα σε δεκαδικούς.</t>
  </si>
  <si>
    <t>4. Να μετατρέψετε τα πιο κάτω κλάσματα σε δεκαδικούς.</t>
  </si>
  <si>
    <t xml:space="preserve">Γράψε στο γαλάζιο κουτάκι το κλάσμα που θα ήθελες να δεις σε </t>
  </si>
  <si>
    <t>επιφάνεια. Το κλάσμα σου απεικονίζεται με μπλε χρώμα</t>
  </si>
  <si>
    <t>Για να μετατρέψουμε ένα κλάσμα σε ποσοστό μπορούμε να εργαστούμε</t>
  </si>
  <si>
    <t xml:space="preserve">με παρονομαστή το 100  τότε εύκολα μετατρέπουμε </t>
  </si>
  <si>
    <t>το κλάσμα σε ποσοστό.</t>
  </si>
  <si>
    <t>παρονομαστής τους δε μπορεί να χωρέσει ακριβώς στο 100 ,</t>
  </si>
  <si>
    <t>στο 100 (πχ αν ο παρονομαστής είναι 3 ή 6 ή 7 ή 9 κλπ)</t>
  </si>
  <si>
    <t xml:space="preserve">τον παρονομαστή και θα βρούμε ένα δεκαδικό.Το δεκαδικό στη συνέχεια </t>
  </si>
  <si>
    <t>τον μετατρέπουμε σε ποσοστό.</t>
  </si>
  <si>
    <t>1. Να μετατρέψετε τα πιο κάτω κλάσματα σε ποσοστά.</t>
  </si>
  <si>
    <t>ΠΡΟΣΕΞΕΤΕ: Ο παρονομαστής μπορεί να πηγαίνει ακριβώς στο 100.</t>
  </si>
  <si>
    <t>ΠΡΟΣΕΞΕΤΕ: Ο παρονομαστής δεν μπορεί να πηγαίνει ακριβώς στο 100 .</t>
  </si>
  <si>
    <t>Όταν κάνεις τη διαίρεση, ο δεκαδικός που βρίσκεις γράφεται αυτόματα στο κίτρινο κουτάκι.</t>
  </si>
  <si>
    <t>Εσύ μετά θα πρέπει να κάνεις το δεκαδικό ποσοστό.</t>
  </si>
  <si>
    <t>3. Να μετατρέψετε τα πιο κάτω κλάσματα σε ποσοστά.</t>
  </si>
  <si>
    <t>ΠΡΟΣΕΞΕΤΕ: Ο παρονομαστής δεν μπορεί να πηγαίνει ακριβώς στο 100.</t>
  </si>
  <si>
    <t>Γράψε στα γαλάζια κουτάκια το κλάσμα και το ποσοστό που είναι ίσα με τον δεκαδικό.</t>
  </si>
  <si>
    <t>το κλάσμα σαν δεκαδικός ή ποσοστό.</t>
  </si>
  <si>
    <t xml:space="preserve">  Να μετατρέψεις στο τετράδιό σου τα πιο κάτω κλάσματα ως δεκαδικούς και ποσοστά.</t>
  </si>
  <si>
    <t xml:space="preserve">  Στη συνέχεια να βάλεις στην πιο πάνω μηχανή τις απαντήσεις σου για να δεις</t>
  </si>
  <si>
    <t xml:space="preserve">  αν βρήκες σωστά την απάντηση.</t>
  </si>
  <si>
    <t>Γράψε στα γαλάζια κουτάκια το κλάσμα και τον δεκαδικό που είναι ίσα με το ποσοστό.</t>
  </si>
  <si>
    <t>Δεκαδικός</t>
  </si>
  <si>
    <t>κλάσμα</t>
  </si>
  <si>
    <t>ποσοστό</t>
  </si>
  <si>
    <t>Γράψε στα γαλάζια κουτάκια τον δεκαδικό και το ποσοστό που είναι ίσα με το κλάσμα.</t>
  </si>
  <si>
    <t>παρονομαστής τους δεν μπορεί να χωρέσει ακριβώς στο 10, το 100 ή το 1000,</t>
  </si>
  <si>
    <t>εντούτοις, αν απλοποιηθεί το κλάσμα μπορεί αυτό στη συνέχεια να γίνει</t>
  </si>
  <si>
    <t>στο 10, το 100 ή το 1000 (πχ αν ο παρονομαστής είναι 3 ή 6 ή 7 ή 9 κλπ),</t>
  </si>
  <si>
    <t>Μετατροπή κλάσματος σε δεκαδικό σε επιφάνεια (2).</t>
  </si>
  <si>
    <t>Μετατροπή κλάσματος σε δεκαδικό σε επιφάνεια (1).</t>
  </si>
  <si>
    <t>Κλάσματα - Δεκαδικοί - Ποσοστά στην αριθμητική γραμμή</t>
  </si>
  <si>
    <t>Γράψε στα γαλάζια το κλάσμα ως δεκαδικό και ως ποσοστό.</t>
  </si>
  <si>
    <t>ΒΑΣΙΚΟΣ ΟΡΟΣ ΓΙΑ ΝΑ ΛΕΙΤΟΥΡΓΗΣΕΙ Η ΜΗΧΑΝΗ:</t>
  </si>
  <si>
    <t xml:space="preserve">Ο παρονομαστής του κλάσματος μπορεί να είναι αριθμός που μπαίνει </t>
  </si>
  <si>
    <t>ακριβώς στο 10, το 100 ή το 1000</t>
  </si>
  <si>
    <t>Για να μετατρέψουμε ένα ποσοστό σε ποσοστό μπορούμε να εργαστούμε</t>
  </si>
  <si>
    <t>α) Γράφουμε το ποσοστό σαν κλάσμα, με παρονομαστή 100.</t>
  </si>
  <si>
    <t>β) Μετά γράφουμε το κλάσμα ως δεκαδικό.</t>
  </si>
  <si>
    <t xml:space="preserve">1. Να μετατρέψετε τα πιο κάτω ποσοστά σε κλάσματα. </t>
  </si>
  <si>
    <t xml:space="preserve">2. Να μετατρέψετε τα πιο κάτω ποσοστά σε δεκαδικούς. </t>
  </si>
  <si>
    <t>μετακινώντας απλά την υποδιαστολή δύο θέσεις αριστερά.</t>
  </si>
  <si>
    <t>Μετατροπή ποσοστού σε δεκαδικό</t>
  </si>
  <si>
    <t>Γράψε το κλάσμα και δες το ποσοστό.</t>
  </si>
  <si>
    <t xml:space="preserve"> Γράψε το κλάσμα και δες τον δεκαδικό.</t>
  </si>
  <si>
    <t xml:space="preserve">με παρονομαστή το 10, το 100 ή το 1000,  τότε εύκολα μετατρέπουμε </t>
  </si>
  <si>
    <t xml:space="preserve">  To κλάσμα που θα γράψεις πρέπει να</t>
  </si>
  <si>
    <t xml:space="preserve"> είναι μικρότερο από την ακέραια μονάδα.</t>
  </si>
</sst>
</file>

<file path=xl/styles.xml><?xml version="1.0" encoding="utf-8"?>
<styleSheet xmlns="http://schemas.openxmlformats.org/spreadsheetml/2006/main">
  <numFmts count="3">
    <numFmt numFmtId="164" formatCode="0.000"/>
    <numFmt numFmtId="165" formatCode="0.0"/>
    <numFmt numFmtId="166" formatCode="0.000;[Red]0.000"/>
  </numFmts>
  <fonts count="74">
    <font>
      <sz val="10"/>
      <name val="Comic Sans MS"/>
      <charset val="161"/>
    </font>
    <font>
      <b/>
      <sz val="10"/>
      <name val="Comic Sans MS"/>
      <family val="4"/>
    </font>
    <font>
      <b/>
      <sz val="14"/>
      <name val="Comic Sans MS"/>
      <family val="4"/>
    </font>
    <font>
      <b/>
      <sz val="24"/>
      <name val="Comic Sans MS"/>
      <family val="4"/>
    </font>
    <font>
      <b/>
      <sz val="16"/>
      <name val="Comic Sans MS"/>
      <family val="4"/>
    </font>
    <font>
      <b/>
      <sz val="20"/>
      <name val="Comic Sans MS"/>
      <family val="4"/>
    </font>
    <font>
      <b/>
      <sz val="18"/>
      <name val="Comic Sans MS"/>
      <family val="4"/>
    </font>
    <font>
      <b/>
      <u/>
      <sz val="14"/>
      <name val="Comic Sans MS"/>
      <family val="4"/>
    </font>
    <font>
      <b/>
      <sz val="12"/>
      <name val="Comic Sans MS"/>
      <family val="4"/>
    </font>
    <font>
      <b/>
      <sz val="14"/>
      <color indexed="10"/>
      <name val="Comic Sans MS"/>
      <family val="4"/>
    </font>
    <font>
      <b/>
      <sz val="22"/>
      <name val="Comic Sans MS"/>
      <family val="4"/>
    </font>
    <font>
      <b/>
      <sz val="16"/>
      <color indexed="10"/>
      <name val="Comic Sans MS"/>
      <family val="4"/>
    </font>
    <font>
      <b/>
      <sz val="18"/>
      <color indexed="12"/>
      <name val="Comic Sans MS"/>
      <family val="4"/>
    </font>
    <font>
      <b/>
      <sz val="16"/>
      <color indexed="12"/>
      <name val="Comic Sans MS"/>
      <family val="4"/>
    </font>
    <font>
      <b/>
      <sz val="26"/>
      <name val="Comic Sans MS"/>
      <family val="4"/>
    </font>
    <font>
      <sz val="8"/>
      <color indexed="81"/>
      <name val="Tahoma"/>
      <family val="2"/>
      <charset val="161"/>
    </font>
    <font>
      <b/>
      <sz val="8"/>
      <color indexed="81"/>
      <name val="Tahoma"/>
      <family val="2"/>
      <charset val="161"/>
    </font>
    <font>
      <b/>
      <sz val="14"/>
      <color indexed="12"/>
      <name val="Comic Sans MS"/>
      <family val="4"/>
    </font>
    <font>
      <u/>
      <sz val="10"/>
      <color indexed="12"/>
      <name val="Comic Sans MS"/>
      <family val="4"/>
      <charset val="161"/>
    </font>
    <font>
      <b/>
      <u/>
      <sz val="10"/>
      <color indexed="81"/>
      <name val="Tahoma"/>
      <family val="2"/>
    </font>
    <font>
      <b/>
      <u/>
      <sz val="8"/>
      <color indexed="81"/>
      <name val="Tahoma"/>
      <family val="2"/>
    </font>
    <font>
      <b/>
      <sz val="8"/>
      <color indexed="81"/>
      <name val="Tahoma"/>
      <family val="2"/>
    </font>
    <font>
      <sz val="8"/>
      <color indexed="81"/>
      <name val="Tahoma"/>
      <family val="2"/>
    </font>
    <font>
      <b/>
      <sz val="16"/>
      <color indexed="10"/>
      <name val="Wingdings"/>
      <charset val="2"/>
    </font>
    <font>
      <b/>
      <sz val="16"/>
      <color indexed="12"/>
      <name val="Wingdings"/>
      <charset val="2"/>
    </font>
    <font>
      <sz val="10"/>
      <color indexed="10"/>
      <name val="Comic Sans MS"/>
      <family val="4"/>
    </font>
    <font>
      <b/>
      <sz val="10"/>
      <color indexed="12"/>
      <name val="Comic Sans MS"/>
      <family val="4"/>
    </font>
    <font>
      <b/>
      <sz val="8"/>
      <color indexed="10"/>
      <name val="Tahoma"/>
      <family val="2"/>
    </font>
    <font>
      <b/>
      <sz val="10"/>
      <color indexed="10"/>
      <name val="Comic Sans MS"/>
      <family val="4"/>
    </font>
    <font>
      <b/>
      <sz val="14"/>
      <color indexed="81"/>
      <name val="Tahoma"/>
      <family val="2"/>
    </font>
    <font>
      <b/>
      <u/>
      <sz val="14"/>
      <color indexed="10"/>
      <name val="Comic Sans MS"/>
      <family val="4"/>
    </font>
    <font>
      <b/>
      <sz val="18"/>
      <color indexed="10"/>
      <name val="Wingdings"/>
      <charset val="2"/>
    </font>
    <font>
      <b/>
      <sz val="8"/>
      <color indexed="12"/>
      <name val="Tahoma"/>
      <family val="2"/>
    </font>
    <font>
      <sz val="6"/>
      <name val="Comic Sans MS"/>
      <family val="4"/>
    </font>
    <font>
      <b/>
      <sz val="14"/>
      <name val="Arial"/>
      <family val="2"/>
    </font>
    <font>
      <b/>
      <sz val="14"/>
      <color indexed="12"/>
      <name val="Arial"/>
      <family val="2"/>
    </font>
    <font>
      <b/>
      <sz val="8"/>
      <color indexed="60"/>
      <name val="Tahoma"/>
      <family val="2"/>
    </font>
    <font>
      <b/>
      <sz val="14"/>
      <color indexed="60"/>
      <name val="Arial"/>
      <family val="2"/>
    </font>
    <font>
      <b/>
      <sz val="14"/>
      <color indexed="10"/>
      <name val="Arial"/>
      <family val="2"/>
    </font>
    <font>
      <b/>
      <sz val="8"/>
      <color indexed="16"/>
      <name val="Tahoma"/>
      <family val="2"/>
    </font>
    <font>
      <b/>
      <sz val="14"/>
      <color indexed="16"/>
      <name val="Arial"/>
      <family val="2"/>
    </font>
    <font>
      <b/>
      <sz val="8"/>
      <color indexed="57"/>
      <name val="Tahoma"/>
      <family val="2"/>
    </font>
    <font>
      <b/>
      <sz val="14"/>
      <color indexed="17"/>
      <name val="Arial"/>
      <family val="2"/>
    </font>
    <font>
      <b/>
      <sz val="8"/>
      <color indexed="14"/>
      <name val="Tahoma"/>
      <family val="2"/>
    </font>
    <font>
      <b/>
      <sz val="14"/>
      <color indexed="14"/>
      <name val="Arial"/>
      <family val="2"/>
    </font>
    <font>
      <b/>
      <sz val="8"/>
      <color indexed="59"/>
      <name val="Tahoma"/>
      <family val="2"/>
    </font>
    <font>
      <b/>
      <strike/>
      <sz val="18"/>
      <name val="Comic Sans MS"/>
      <family val="4"/>
    </font>
    <font>
      <b/>
      <sz val="12"/>
      <name val="Arial"/>
      <family val="2"/>
    </font>
    <font>
      <b/>
      <sz val="13"/>
      <color indexed="14"/>
      <name val="Arial"/>
      <family val="2"/>
    </font>
    <font>
      <sz val="190"/>
      <color indexed="13"/>
      <name val="Comic Sans MS"/>
      <family val="4"/>
    </font>
    <font>
      <sz val="10"/>
      <name val="Comic Sans MS"/>
      <family val="4"/>
    </font>
    <font>
      <sz val="10"/>
      <color indexed="42"/>
      <name val="Comic Sans MS"/>
      <family val="4"/>
    </font>
    <font>
      <sz val="6"/>
      <color indexed="42"/>
      <name val="Comic Sans MS"/>
      <family val="4"/>
    </font>
    <font>
      <sz val="5"/>
      <name val="Wingdings"/>
      <charset val="2"/>
    </font>
    <font>
      <b/>
      <sz val="10"/>
      <color indexed="62"/>
      <name val="Comic Sans MS"/>
      <family val="4"/>
    </font>
    <font>
      <sz val="8"/>
      <color indexed="13"/>
      <name val="Comic Sans MS"/>
      <family val="4"/>
    </font>
    <font>
      <sz val="10"/>
      <color indexed="13"/>
      <name val="Comic Sans MS"/>
      <family val="4"/>
    </font>
    <font>
      <b/>
      <sz val="12"/>
      <color indexed="13"/>
      <name val="Comic Sans MS"/>
      <family val="4"/>
    </font>
    <font>
      <sz val="14"/>
      <color indexed="81"/>
      <name val="Tahoma"/>
      <family val="2"/>
    </font>
    <font>
      <b/>
      <sz val="11"/>
      <color indexed="81"/>
      <name val="Tahoma"/>
      <family val="2"/>
    </font>
    <font>
      <sz val="11"/>
      <color indexed="81"/>
      <name val="Tahoma"/>
      <family val="2"/>
    </font>
    <font>
      <b/>
      <sz val="22"/>
      <color indexed="12"/>
      <name val="Comic Sans MS"/>
      <family val="4"/>
    </font>
    <font>
      <b/>
      <sz val="22"/>
      <name val="Wingdings"/>
      <charset val="2"/>
    </font>
    <font>
      <b/>
      <u/>
      <sz val="28"/>
      <color indexed="12"/>
      <name val="Comic Sans MS"/>
      <family val="4"/>
    </font>
    <font>
      <b/>
      <sz val="10"/>
      <color indexed="11"/>
      <name val="Comic Sans MS"/>
      <family val="4"/>
    </font>
    <font>
      <b/>
      <sz val="10"/>
      <color indexed="40"/>
      <name val="Comic Sans MS"/>
      <family val="4"/>
    </font>
    <font>
      <b/>
      <sz val="24"/>
      <color indexed="10"/>
      <name val="Wingdings"/>
      <charset val="2"/>
    </font>
    <font>
      <b/>
      <sz val="36"/>
      <name val="Wingdings"/>
      <charset val="2"/>
    </font>
    <font>
      <b/>
      <u/>
      <sz val="16"/>
      <color rgb="FFFF0000"/>
      <name val="Comic Sans MS"/>
      <family val="4"/>
    </font>
    <font>
      <b/>
      <sz val="16"/>
      <color rgb="FFFF0000"/>
      <name val="Comic Sans MS"/>
      <family val="4"/>
    </font>
    <font>
      <b/>
      <sz val="14"/>
      <name val="Wingdings"/>
      <charset val="2"/>
    </font>
    <font>
      <b/>
      <sz val="9"/>
      <color indexed="81"/>
      <name val="Tahoma"/>
      <family val="2"/>
      <charset val="161"/>
    </font>
    <font>
      <sz val="9"/>
      <color indexed="81"/>
      <name val="Tahoma"/>
      <family val="2"/>
      <charset val="161"/>
    </font>
    <font>
      <b/>
      <u/>
      <sz val="16"/>
      <color rgb="FF0000CC"/>
      <name val="Comic Sans MS"/>
      <family val="4"/>
    </font>
  </fonts>
  <fills count="2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5"/>
        <bgColor indexed="64"/>
      </patternFill>
    </fill>
    <fill>
      <patternFill patternType="solid">
        <fgColor indexed="11"/>
        <bgColor indexed="64"/>
      </patternFill>
    </fill>
    <fill>
      <patternFill patternType="solid">
        <fgColor indexed="42"/>
        <bgColor indexed="64"/>
      </patternFill>
    </fill>
    <fill>
      <patternFill patternType="solid">
        <fgColor indexed="40"/>
        <bgColor indexed="64"/>
      </patternFill>
    </fill>
    <fill>
      <patternFill patternType="gray0625">
        <fgColor indexed="13"/>
        <bgColor indexed="40"/>
      </patternFill>
    </fill>
    <fill>
      <patternFill patternType="solid">
        <fgColor indexed="10"/>
        <bgColor indexed="64"/>
      </patternFill>
    </fill>
    <fill>
      <patternFill patternType="solid">
        <fgColor indexed="26"/>
        <bgColor indexed="64"/>
      </patternFill>
    </fill>
    <fill>
      <patternFill patternType="solid">
        <fgColor indexed="12"/>
        <bgColor indexed="64"/>
      </patternFill>
    </fill>
    <fill>
      <patternFill patternType="solid">
        <fgColor indexed="47"/>
        <bgColor indexed="64"/>
      </patternFill>
    </fill>
    <fill>
      <patternFill patternType="solid">
        <fgColor indexed="46"/>
        <bgColor indexed="64"/>
      </patternFill>
    </fill>
    <fill>
      <patternFill patternType="solid">
        <fgColor indexed="53"/>
        <bgColor indexed="64"/>
      </patternFill>
    </fill>
    <fill>
      <patternFill patternType="gray0625">
        <fgColor indexed="40"/>
        <bgColor indexed="41"/>
      </patternFill>
    </fill>
    <fill>
      <patternFill patternType="gray0625">
        <fgColor indexed="14"/>
        <bgColor indexed="40"/>
      </patternFill>
    </fill>
    <fill>
      <patternFill patternType="solid">
        <fgColor indexed="52"/>
        <bgColor indexed="64"/>
      </patternFill>
    </fill>
    <fill>
      <patternFill patternType="solid">
        <fgColor indexed="41"/>
        <bgColor indexed="64"/>
      </patternFill>
    </fill>
    <fill>
      <patternFill patternType="gray0625">
        <fgColor indexed="15"/>
        <bgColor indexed="11"/>
      </patternFill>
    </fill>
    <fill>
      <patternFill patternType="gray0625">
        <fgColor indexed="15"/>
        <bgColor indexed="51"/>
      </patternFill>
    </fill>
    <fill>
      <patternFill patternType="gray0625">
        <fgColor indexed="40"/>
        <bgColor indexed="51"/>
      </patternFill>
    </fill>
    <fill>
      <patternFill patternType="solid">
        <fgColor indexed="48"/>
        <bgColor indexed="64"/>
      </patternFill>
    </fill>
    <fill>
      <patternFill patternType="solid">
        <fgColor rgb="FFFFFFCC"/>
        <bgColor indexed="64"/>
      </patternFill>
    </fill>
    <fill>
      <patternFill patternType="solid">
        <fgColor rgb="FFFFFF00"/>
        <bgColor indexed="64"/>
      </patternFill>
    </fill>
    <fill>
      <patternFill patternType="solid">
        <fgColor rgb="FF00FFFF"/>
        <bgColor indexed="64"/>
      </patternFill>
    </fill>
    <fill>
      <patternFill patternType="solid">
        <fgColor rgb="FFCCFFFF"/>
        <bgColor indexed="64"/>
      </patternFill>
    </fill>
  </fills>
  <borders count="40">
    <border>
      <left/>
      <right/>
      <top/>
      <bottom/>
      <diagonal/>
    </border>
    <border>
      <left/>
      <right/>
      <top/>
      <bottom style="thick">
        <color indexed="64"/>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dotted">
        <color indexed="64"/>
      </left>
      <right style="dotted">
        <color indexed="64"/>
      </right>
      <top style="dotted">
        <color indexed="64"/>
      </top>
      <bottom style="dotted">
        <color indexed="64"/>
      </bottom>
      <diagonal/>
    </border>
    <border>
      <left style="thick">
        <color indexed="64"/>
      </left>
      <right style="dotted">
        <color indexed="64"/>
      </right>
      <top style="thick">
        <color indexed="64"/>
      </top>
      <bottom style="dotted">
        <color indexed="64"/>
      </bottom>
      <diagonal/>
    </border>
    <border>
      <left style="dotted">
        <color indexed="64"/>
      </left>
      <right style="dotted">
        <color indexed="64"/>
      </right>
      <top/>
      <bottom style="dotted">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bottom/>
      <diagonal/>
    </border>
    <border>
      <left/>
      <right style="thick">
        <color indexed="12"/>
      </right>
      <top/>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right style="thin">
        <color indexed="12"/>
      </right>
      <top/>
      <bottom/>
      <diagonal/>
    </border>
    <border>
      <left style="thin">
        <color indexed="12"/>
      </left>
      <right/>
      <top/>
      <bottom/>
      <diagonal/>
    </border>
    <border>
      <left style="thin">
        <color indexed="12"/>
      </left>
      <right style="medium">
        <color indexed="64"/>
      </right>
      <top style="thick">
        <color indexed="64"/>
      </top>
      <bottom style="medium">
        <color indexed="64"/>
      </bottom>
      <diagonal/>
    </border>
    <border>
      <left style="thin">
        <color indexed="12"/>
      </left>
      <right style="medium">
        <color indexed="64"/>
      </right>
      <top style="medium">
        <color indexed="64"/>
      </top>
      <bottom style="medium">
        <color indexed="64"/>
      </bottom>
      <diagonal/>
    </border>
    <border>
      <left style="thin">
        <color indexed="12"/>
      </left>
      <right style="medium">
        <color indexed="64"/>
      </right>
      <top style="medium">
        <color indexed="64"/>
      </top>
      <bottom style="thick">
        <color indexed="64"/>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right style="dashDot">
        <color indexed="11"/>
      </right>
      <top/>
      <bottom/>
      <diagonal/>
    </border>
    <border>
      <left style="thin">
        <color indexed="12"/>
      </left>
      <right/>
      <top style="thick">
        <color indexed="64"/>
      </top>
      <bottom/>
      <diagonal/>
    </border>
    <border>
      <left/>
      <right/>
      <top style="medium">
        <color auto="1"/>
      </top>
      <bottom/>
      <diagonal/>
    </border>
    <border>
      <left style="thick">
        <color auto="1"/>
      </left>
      <right/>
      <top style="thin">
        <color auto="1"/>
      </top>
      <bottom/>
      <diagonal/>
    </border>
    <border>
      <left style="thin">
        <color indexed="12"/>
      </left>
      <right style="thin">
        <color indexed="12"/>
      </right>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91">
    <xf numFmtId="0" fontId="0" fillId="0" borderId="0" xfId="0"/>
    <xf numFmtId="0" fontId="6" fillId="0" borderId="0" xfId="0" applyFont="1"/>
    <xf numFmtId="0" fontId="0" fillId="2" borderId="0" xfId="0" applyFill="1"/>
    <xf numFmtId="0" fontId="0" fillId="2" borderId="0" xfId="0" applyFill="1" applyProtection="1">
      <protection hidden="1"/>
    </xf>
    <xf numFmtId="0" fontId="0" fillId="0" borderId="0" xfId="0" applyProtection="1">
      <protection hidden="1"/>
    </xf>
    <xf numFmtId="0" fontId="0" fillId="6" borderId="0" xfId="0" applyFill="1" applyProtection="1">
      <protection hidden="1"/>
    </xf>
    <xf numFmtId="0" fontId="1" fillId="6" borderId="0" xfId="0" applyFont="1" applyFill="1" applyProtection="1">
      <protection hidden="1"/>
    </xf>
    <xf numFmtId="0" fontId="0" fillId="3" borderId="0" xfId="0" applyFill="1" applyProtection="1">
      <protection hidden="1"/>
    </xf>
    <xf numFmtId="0" fontId="0" fillId="8" borderId="0" xfId="0" applyFill="1"/>
    <xf numFmtId="0" fontId="6" fillId="8" borderId="0" xfId="0" applyFont="1" applyFill="1"/>
    <xf numFmtId="0" fontId="5" fillId="0" borderId="0" xfId="0" applyFont="1" applyAlignment="1">
      <alignment horizontal="center" vertical="center"/>
    </xf>
    <xf numFmtId="0" fontId="12" fillId="10" borderId="0" xfId="0" applyFont="1" applyFill="1"/>
    <xf numFmtId="0" fontId="8" fillId="3" borderId="0" xfId="0" applyFont="1" applyFill="1" applyProtection="1">
      <protection hidden="1"/>
    </xf>
    <xf numFmtId="0" fontId="2" fillId="3" borderId="0" xfId="0" applyFont="1" applyFill="1" applyProtection="1">
      <protection hidden="1"/>
    </xf>
    <xf numFmtId="0" fontId="8" fillId="3" borderId="0" xfId="0" applyFont="1" applyFill="1" applyAlignment="1" applyProtection="1">
      <alignment horizontal="center" vertical="center"/>
      <protection hidden="1"/>
    </xf>
    <xf numFmtId="0" fontId="8" fillId="6" borderId="0" xfId="0" applyFont="1" applyFill="1" applyAlignment="1" applyProtection="1">
      <alignment horizontal="center" vertical="center"/>
      <protection locked="0"/>
    </xf>
    <xf numFmtId="0" fontId="0" fillId="3" borderId="0" xfId="0" applyFill="1"/>
    <xf numFmtId="0" fontId="23" fillId="3" borderId="0" xfId="0" applyFont="1" applyFill="1" applyAlignment="1" applyProtection="1">
      <alignment horizontal="center" vertical="center"/>
      <protection hidden="1"/>
    </xf>
    <xf numFmtId="0" fontId="8" fillId="0" borderId="0" xfId="0" applyFont="1"/>
    <xf numFmtId="0" fontId="24" fillId="3" borderId="0" xfId="0" applyFont="1" applyFill="1" applyAlignment="1" applyProtection="1">
      <alignment horizontal="center" vertical="center"/>
      <protection hidden="1"/>
    </xf>
    <xf numFmtId="0" fontId="2" fillId="2" borderId="0" xfId="0" applyFont="1" applyFill="1" applyProtection="1">
      <protection hidden="1"/>
    </xf>
    <xf numFmtId="0" fontId="8" fillId="6" borderId="0" xfId="0" applyFont="1" applyFill="1" applyProtection="1">
      <protection hidden="1"/>
    </xf>
    <xf numFmtId="0" fontId="8" fillId="11" borderId="0" xfId="0" applyFont="1" applyFill="1" applyProtection="1">
      <protection hidden="1"/>
    </xf>
    <xf numFmtId="0" fontId="2" fillId="3" borderId="0" xfId="0" applyFont="1" applyFill="1"/>
    <xf numFmtId="0" fontId="4" fillId="3" borderId="0" xfId="0" applyFont="1" applyFill="1"/>
    <xf numFmtId="0" fontId="2" fillId="2" borderId="0" xfId="0" applyFont="1" applyFill="1"/>
    <xf numFmtId="0" fontId="23" fillId="2" borderId="0" xfId="0" applyFont="1" applyFill="1" applyAlignment="1" applyProtection="1">
      <alignment horizontal="center" vertical="center"/>
      <protection hidden="1"/>
    </xf>
    <xf numFmtId="0" fontId="8" fillId="2" borderId="0" xfId="0" applyFont="1" applyFill="1"/>
    <xf numFmtId="0" fontId="8" fillId="2" borderId="0" xfId="0" applyFont="1" applyFill="1" applyProtection="1">
      <protection hidden="1"/>
    </xf>
    <xf numFmtId="0" fontId="8" fillId="3" borderId="0" xfId="0" applyFont="1" applyFill="1"/>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0" fontId="8" fillId="6" borderId="2" xfId="0" applyFont="1" applyFill="1" applyBorder="1" applyAlignment="1" applyProtection="1">
      <alignment horizontal="center" vertical="center"/>
      <protection locked="0"/>
    </xf>
    <xf numFmtId="0" fontId="8" fillId="15" borderId="0" xfId="0" applyFont="1" applyFill="1"/>
    <xf numFmtId="0" fontId="30" fillId="3" borderId="0" xfId="0" applyFont="1" applyFill="1"/>
    <xf numFmtId="0" fontId="34" fillId="3" borderId="0" xfId="0" applyFont="1" applyFill="1"/>
    <xf numFmtId="0" fontId="34" fillId="3" borderId="3" xfId="0" applyFont="1" applyFill="1" applyBorder="1"/>
    <xf numFmtId="0" fontId="34" fillId="3" borderId="0" xfId="0" applyFont="1" applyFill="1" applyAlignment="1">
      <alignment horizontal="right"/>
    </xf>
    <xf numFmtId="0" fontId="34" fillId="3" borderId="0" xfId="0" applyFont="1" applyFill="1" applyAlignment="1">
      <alignment horizontal="right" vertical="center"/>
    </xf>
    <xf numFmtId="0" fontId="34" fillId="3" borderId="0" xfId="0" applyFont="1" applyFill="1" applyBorder="1" applyAlignment="1">
      <alignment horizontal="right" vertical="center"/>
    </xf>
    <xf numFmtId="0" fontId="34" fillId="3" borderId="0" xfId="0" applyFont="1" applyFill="1" applyBorder="1"/>
    <xf numFmtId="0" fontId="34" fillId="3" borderId="3" xfId="0" applyFont="1" applyFill="1" applyBorder="1" applyAlignment="1">
      <alignment horizontal="left" vertical="center"/>
    </xf>
    <xf numFmtId="0" fontId="35" fillId="6" borderId="6" xfId="0" applyFont="1" applyFill="1" applyBorder="1" applyProtection="1">
      <protection locked="0"/>
    </xf>
    <xf numFmtId="0" fontId="34" fillId="8" borderId="0" xfId="0" applyFont="1" applyFill="1"/>
    <xf numFmtId="0" fontId="34" fillId="8" borderId="0" xfId="0" applyFont="1" applyFill="1" applyAlignment="1">
      <alignment horizontal="right" vertical="center"/>
    </xf>
    <xf numFmtId="0" fontId="38" fillId="6" borderId="7" xfId="0" applyFont="1" applyFill="1" applyBorder="1" applyAlignment="1" applyProtection="1">
      <alignment horizontal="left" vertical="center"/>
      <protection locked="0"/>
    </xf>
    <xf numFmtId="0" fontId="35" fillId="6" borderId="7" xfId="0" applyFont="1" applyFill="1" applyBorder="1" applyAlignment="1" applyProtection="1">
      <alignment horizontal="left" vertical="center"/>
      <protection locked="0"/>
    </xf>
    <xf numFmtId="0" fontId="8" fillId="8" borderId="0" xfId="0" applyFont="1" applyFill="1"/>
    <xf numFmtId="0" fontId="40" fillId="6" borderId="7" xfId="0" applyFont="1" applyFill="1" applyBorder="1" applyAlignment="1" applyProtection="1">
      <alignment horizontal="left" vertical="center"/>
      <protection locked="0"/>
    </xf>
    <xf numFmtId="0" fontId="37" fillId="6" borderId="6" xfId="0" applyFont="1" applyFill="1" applyBorder="1" applyProtection="1">
      <protection locked="0"/>
    </xf>
    <xf numFmtId="0" fontId="42" fillId="6" borderId="6" xfId="0" applyFont="1" applyFill="1" applyBorder="1" applyProtection="1">
      <protection locked="0"/>
    </xf>
    <xf numFmtId="0" fontId="44" fillId="6" borderId="8" xfId="0" applyFont="1" applyFill="1" applyBorder="1" applyProtection="1">
      <protection locked="0"/>
    </xf>
    <xf numFmtId="0" fontId="42" fillId="6" borderId="7" xfId="0" applyFont="1" applyFill="1" applyBorder="1" applyAlignment="1" applyProtection="1">
      <alignment horizontal="left" vertical="center"/>
      <protection locked="0"/>
    </xf>
    <xf numFmtId="0" fontId="34" fillId="8" borderId="0" xfId="0" applyFont="1" applyFill="1" applyBorder="1"/>
    <xf numFmtId="0" fontId="8" fillId="6" borderId="0" xfId="0" applyFont="1" applyFill="1" applyAlignment="1">
      <alignment horizontal="center" vertical="center"/>
    </xf>
    <xf numFmtId="0" fontId="8" fillId="6" borderId="2" xfId="0" applyFont="1" applyFill="1" applyBorder="1" applyAlignment="1">
      <alignment horizontal="center" vertical="center"/>
    </xf>
    <xf numFmtId="0" fontId="8" fillId="3" borderId="0" xfId="0" applyFont="1" applyFill="1" applyBorder="1" applyAlignment="1">
      <alignment horizontal="center" vertical="center"/>
    </xf>
    <xf numFmtId="0" fontId="8" fillId="5" borderId="0" xfId="0" applyFont="1" applyFill="1" applyProtection="1">
      <protection locked="0"/>
    </xf>
    <xf numFmtId="0" fontId="34" fillId="5" borderId="3" xfId="0" applyFont="1" applyFill="1" applyBorder="1" applyAlignment="1" applyProtection="1">
      <alignment horizontal="left" vertical="center"/>
      <protection locked="0"/>
    </xf>
    <xf numFmtId="0" fontId="38" fillId="6" borderId="7" xfId="0" applyFont="1" applyFill="1" applyBorder="1" applyAlignment="1" applyProtection="1">
      <alignment horizontal="left" vertical="center"/>
    </xf>
    <xf numFmtId="0" fontId="8" fillId="16" borderId="0" xfId="0" applyFont="1" applyFill="1"/>
    <xf numFmtId="0" fontId="34" fillId="16" borderId="0" xfId="0" applyFont="1" applyFill="1"/>
    <xf numFmtId="0" fontId="34" fillId="16" borderId="0" xfId="0" applyFont="1" applyFill="1" applyBorder="1"/>
    <xf numFmtId="0" fontId="8" fillId="5" borderId="5" xfId="0" applyFont="1" applyFill="1" applyBorder="1" applyAlignment="1" applyProtection="1">
      <alignment horizontal="center" vertical="center"/>
      <protection hidden="1"/>
    </xf>
    <xf numFmtId="0" fontId="46" fillId="3" borderId="0" xfId="0" applyFont="1" applyFill="1"/>
    <xf numFmtId="0" fontId="47" fillId="16" borderId="0" xfId="0" applyFont="1" applyFill="1"/>
    <xf numFmtId="0" fontId="48" fillId="6" borderId="8" xfId="0" applyFont="1" applyFill="1" applyBorder="1" applyProtection="1">
      <protection locked="0"/>
    </xf>
    <xf numFmtId="0" fontId="35" fillId="6" borderId="6" xfId="0" applyFont="1" applyFill="1" applyBorder="1" applyProtection="1">
      <protection hidden="1"/>
    </xf>
    <xf numFmtId="0" fontId="37" fillId="6" borderId="8" xfId="0" applyFont="1" applyFill="1" applyBorder="1" applyProtection="1">
      <protection hidden="1"/>
    </xf>
    <xf numFmtId="0" fontId="34" fillId="6" borderId="7" xfId="0" applyFont="1" applyFill="1" applyBorder="1" applyAlignment="1" applyProtection="1">
      <alignment horizontal="left" vertical="center"/>
      <protection hidden="1"/>
    </xf>
    <xf numFmtId="0" fontId="8" fillId="6" borderId="0" xfId="0" applyFont="1" applyFill="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34" fillId="3" borderId="0" xfId="0" applyFont="1" applyFill="1" applyProtection="1">
      <protection hidden="1"/>
    </xf>
    <xf numFmtId="0" fontId="34" fillId="3" borderId="3" xfId="0" applyFont="1" applyFill="1" applyBorder="1" applyAlignment="1" applyProtection="1">
      <alignment horizontal="left" vertical="center"/>
      <protection hidden="1"/>
    </xf>
    <xf numFmtId="0" fontId="37" fillId="6" borderId="6" xfId="0" applyFont="1" applyFill="1" applyBorder="1" applyProtection="1">
      <protection hidden="1"/>
    </xf>
    <xf numFmtId="0" fontId="38" fillId="6" borderId="7" xfId="0" applyFont="1" applyFill="1" applyBorder="1" applyAlignment="1" applyProtection="1">
      <alignment horizontal="left" vertical="center"/>
      <protection hidden="1"/>
    </xf>
    <xf numFmtId="0" fontId="35" fillId="6" borderId="7" xfId="0" applyFont="1" applyFill="1" applyBorder="1" applyAlignment="1" applyProtection="1">
      <alignment horizontal="left" vertical="center"/>
      <protection hidden="1"/>
    </xf>
    <xf numFmtId="0" fontId="40" fillId="6" borderId="7" xfId="0" applyFont="1" applyFill="1" applyBorder="1" applyAlignment="1" applyProtection="1">
      <alignment horizontal="left" vertical="center"/>
      <protection hidden="1"/>
    </xf>
    <xf numFmtId="0" fontId="42" fillId="6" borderId="7" xfId="0" applyFont="1" applyFill="1" applyBorder="1" applyAlignment="1" applyProtection="1">
      <alignment horizontal="left" vertical="center"/>
      <protection hidden="1"/>
    </xf>
    <xf numFmtId="0" fontId="42" fillId="6" borderId="6" xfId="0" applyFont="1" applyFill="1" applyBorder="1" applyProtection="1">
      <protection hidden="1"/>
    </xf>
    <xf numFmtId="0" fontId="34" fillId="3" borderId="3" xfId="0" applyFont="1" applyFill="1" applyBorder="1" applyProtection="1">
      <protection hidden="1"/>
    </xf>
    <xf numFmtId="0" fontId="34" fillId="3" borderId="0" xfId="0" applyFont="1" applyFill="1" applyAlignment="1" applyProtection="1">
      <alignment horizontal="right"/>
      <protection hidden="1"/>
    </xf>
    <xf numFmtId="0" fontId="44" fillId="6" borderId="8" xfId="0" applyFont="1" applyFill="1" applyBorder="1" applyProtection="1">
      <protection hidden="1"/>
    </xf>
    <xf numFmtId="0" fontId="34" fillId="3" borderId="0" xfId="0" applyFont="1" applyFill="1" applyAlignment="1" applyProtection="1">
      <alignment horizontal="right" vertical="center"/>
      <protection hidden="1"/>
    </xf>
    <xf numFmtId="0" fontId="34" fillId="3" borderId="0" xfId="0" applyFont="1" applyFill="1" applyBorder="1" applyAlignment="1" applyProtection="1">
      <alignment horizontal="right" vertical="center"/>
      <protection hidden="1"/>
    </xf>
    <xf numFmtId="0" fontId="34" fillId="3" borderId="0" xfId="0" applyFont="1" applyFill="1" applyBorder="1" applyProtection="1">
      <protection hidden="1"/>
    </xf>
    <xf numFmtId="0" fontId="8" fillId="3" borderId="2" xfId="0" applyFont="1" applyFill="1" applyBorder="1" applyAlignment="1" applyProtection="1">
      <alignment horizontal="center" vertical="center"/>
      <protection hidden="1"/>
    </xf>
    <xf numFmtId="0" fontId="4" fillId="4" borderId="5" xfId="0" applyFont="1" applyFill="1" applyBorder="1" applyAlignment="1" applyProtection="1">
      <alignment horizontal="center" vertical="center"/>
      <protection hidden="1"/>
    </xf>
    <xf numFmtId="0" fontId="3" fillId="4" borderId="5" xfId="0" applyFont="1" applyFill="1" applyBorder="1" applyAlignment="1" applyProtection="1">
      <alignment horizontal="center" vertical="center"/>
      <protection hidden="1"/>
    </xf>
    <xf numFmtId="0" fontId="10" fillId="17" borderId="5" xfId="0" applyFont="1" applyFill="1" applyBorder="1" applyAlignment="1" applyProtection="1">
      <alignment horizontal="center" vertical="center"/>
      <protection hidden="1"/>
    </xf>
    <xf numFmtId="0" fontId="3" fillId="3" borderId="0" xfId="0" applyFont="1" applyFill="1" applyAlignment="1">
      <alignment horizontal="center" vertical="center"/>
    </xf>
    <xf numFmtId="0" fontId="24" fillId="3" borderId="0" xfId="0" applyFont="1" applyFill="1" applyAlignment="1">
      <alignment horizontal="center" vertical="center"/>
    </xf>
    <xf numFmtId="0" fontId="0" fillId="16" borderId="0" xfId="0" applyFill="1"/>
    <xf numFmtId="0" fontId="2" fillId="18" borderId="0" xfId="0" applyFont="1" applyFill="1" applyAlignment="1" applyProtection="1">
      <alignment horizontal="center" vertical="center"/>
      <protection locked="0"/>
    </xf>
    <xf numFmtId="0" fontId="2" fillId="18" borderId="2" xfId="0" applyFont="1" applyFill="1" applyBorder="1" applyAlignment="1" applyProtection="1">
      <alignment horizontal="center" vertical="center"/>
      <protection locked="0"/>
    </xf>
    <xf numFmtId="0" fontId="2" fillId="19" borderId="0" xfId="0" applyFont="1" applyFill="1" applyProtection="1">
      <protection hidden="1"/>
    </xf>
    <xf numFmtId="0" fontId="49" fillId="5" borderId="0" xfId="0" applyFont="1" applyFill="1" applyAlignment="1" applyProtection="1">
      <alignment horizontal="center" vertical="center"/>
      <protection hidden="1"/>
    </xf>
    <xf numFmtId="0" fontId="0" fillId="20" borderId="0" xfId="0" applyFill="1" applyProtection="1">
      <protection hidden="1"/>
    </xf>
    <xf numFmtId="0" fontId="2" fillId="6" borderId="0" xfId="0" applyFont="1" applyFill="1" applyProtection="1">
      <protection hidden="1"/>
    </xf>
    <xf numFmtId="0" fontId="2" fillId="0" borderId="0" xfId="0" applyFont="1" applyProtection="1">
      <protection hidden="1"/>
    </xf>
    <xf numFmtId="0" fontId="5" fillId="2" borderId="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33" fillId="6" borderId="0" xfId="0" applyFont="1" applyFill="1" applyProtection="1">
      <protection hidden="1"/>
    </xf>
    <xf numFmtId="0" fontId="51" fillId="6" borderId="0" xfId="0" applyFont="1" applyFill="1" applyProtection="1">
      <protection hidden="1"/>
    </xf>
    <xf numFmtId="0" fontId="0" fillId="21" borderId="0" xfId="0" applyFill="1" applyProtection="1">
      <protection hidden="1"/>
    </xf>
    <xf numFmtId="0" fontId="0" fillId="19" borderId="0" xfId="0" applyFill="1" applyProtection="1">
      <protection hidden="1"/>
    </xf>
    <xf numFmtId="164" fontId="51" fillId="6" borderId="0" xfId="0" applyNumberFormat="1" applyFont="1" applyFill="1" applyProtection="1">
      <protection hidden="1"/>
    </xf>
    <xf numFmtId="0" fontId="52" fillId="6" borderId="0" xfId="0" applyFont="1" applyFill="1" applyProtection="1">
      <protection hidden="1"/>
    </xf>
    <xf numFmtId="0" fontId="17" fillId="3" borderId="0" xfId="0" applyFont="1" applyFill="1" applyProtection="1">
      <protection hidden="1"/>
    </xf>
    <xf numFmtId="0" fontId="17" fillId="2" borderId="0" xfId="0" applyFont="1" applyFill="1" applyProtection="1">
      <protection hidden="1"/>
    </xf>
    <xf numFmtId="0" fontId="2" fillId="0" borderId="0" xfId="0" applyFont="1"/>
    <xf numFmtId="0" fontId="56" fillId="2" borderId="0" xfId="0" applyFont="1" applyFill="1"/>
    <xf numFmtId="0" fontId="5" fillId="4"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2" fontId="0" fillId="2" borderId="0" xfId="0" applyNumberFormat="1" applyFill="1"/>
    <xf numFmtId="0" fontId="25" fillId="2" borderId="3" xfId="0" applyFont="1" applyFill="1" applyBorder="1"/>
    <xf numFmtId="0" fontId="25" fillId="2" borderId="4" xfId="0" applyFont="1" applyFill="1" applyBorder="1"/>
    <xf numFmtId="0" fontId="0" fillId="2" borderId="18" xfId="0" applyFill="1" applyBorder="1"/>
    <xf numFmtId="0" fontId="0" fillId="2" borderId="3" xfId="0" applyFill="1" applyBorder="1"/>
    <xf numFmtId="0" fontId="0" fillId="2" borderId="4" xfId="0" applyFill="1" applyBorder="1"/>
    <xf numFmtId="2" fontId="56" fillId="2" borderId="0" xfId="0" applyNumberFormat="1" applyFont="1" applyFill="1"/>
    <xf numFmtId="0" fontId="2" fillId="4" borderId="0" xfId="0" applyFont="1" applyFill="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0" fillId="5" borderId="0" xfId="0" applyFill="1"/>
    <xf numFmtId="0" fontId="4" fillId="4" borderId="2"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8" fillId="5" borderId="0" xfId="0" applyFont="1" applyFill="1" applyProtection="1">
      <protection hidden="1"/>
    </xf>
    <xf numFmtId="0" fontId="8" fillId="9" borderId="0" xfId="0" applyFont="1" applyFill="1" applyProtection="1">
      <protection hidden="1"/>
    </xf>
    <xf numFmtId="0" fontId="8" fillId="9" borderId="0" xfId="0" applyFont="1" applyFill="1"/>
    <xf numFmtId="0" fontId="4" fillId="5" borderId="0" xfId="0" applyFont="1" applyFill="1" applyBorder="1" applyAlignment="1" applyProtection="1">
      <alignment horizontal="center" vertical="center"/>
      <protection locked="0"/>
    </xf>
    <xf numFmtId="0" fontId="4" fillId="11" borderId="2" xfId="0" applyFont="1" applyFill="1" applyBorder="1" applyAlignment="1" applyProtection="1">
      <alignment horizontal="center" vertical="center"/>
      <protection locked="0"/>
    </xf>
    <xf numFmtId="2" fontId="2" fillId="13" borderId="0" xfId="0" applyNumberFormat="1" applyFont="1" applyFill="1" applyAlignment="1" applyProtection="1">
      <alignment horizontal="center" vertical="center"/>
      <protection hidden="1"/>
    </xf>
    <xf numFmtId="165" fontId="2" fillId="4" borderId="0" xfId="0" applyNumberFormat="1" applyFont="1" applyFill="1" applyAlignment="1" applyProtection="1">
      <alignment horizontal="center" vertical="center"/>
      <protection locked="0"/>
    </xf>
    <xf numFmtId="0" fontId="8" fillId="18" borderId="0" xfId="0" applyFont="1" applyFill="1" applyProtection="1">
      <protection hidden="1"/>
    </xf>
    <xf numFmtId="0" fontId="11" fillId="2" borderId="0" xfId="0" applyFont="1" applyFill="1"/>
    <xf numFmtId="0" fontId="0" fillId="2" borderId="0" xfId="0" applyFill="1" applyBorder="1"/>
    <xf numFmtId="0" fontId="25" fillId="2" borderId="3" xfId="0" applyFont="1" applyFill="1" applyBorder="1" applyProtection="1">
      <protection hidden="1"/>
    </xf>
    <xf numFmtId="2" fontId="55" fillId="2" borderId="0" xfId="0" applyNumberFormat="1" applyFont="1" applyFill="1" applyAlignment="1" applyProtection="1">
      <alignment horizontal="center" vertical="center"/>
      <protection hidden="1"/>
    </xf>
    <xf numFmtId="0" fontId="53" fillId="2" borderId="9" xfId="0" applyFont="1" applyFill="1" applyBorder="1" applyProtection="1">
      <protection hidden="1"/>
    </xf>
    <xf numFmtId="0" fontId="53" fillId="2" borderId="10" xfId="0" applyFont="1" applyFill="1" applyBorder="1" applyProtection="1">
      <protection hidden="1"/>
    </xf>
    <xf numFmtId="0" fontId="53" fillId="2" borderId="11" xfId="0" applyFont="1" applyFill="1" applyBorder="1" applyProtection="1">
      <protection hidden="1"/>
    </xf>
    <xf numFmtId="0" fontId="1" fillId="2" borderId="0" xfId="0" applyFont="1" applyFill="1" applyProtection="1">
      <protection hidden="1"/>
    </xf>
    <xf numFmtId="0" fontId="53" fillId="2" borderId="12" xfId="0" applyFont="1" applyFill="1" applyBorder="1" applyProtection="1">
      <protection hidden="1"/>
    </xf>
    <xf numFmtId="0" fontId="53" fillId="2" borderId="13" xfId="0" applyFont="1" applyFill="1" applyBorder="1" applyProtection="1">
      <protection hidden="1"/>
    </xf>
    <xf numFmtId="0" fontId="53" fillId="2" borderId="14" xfId="0" applyFont="1" applyFill="1" applyBorder="1" applyProtection="1">
      <protection hidden="1"/>
    </xf>
    <xf numFmtId="0" fontId="53" fillId="2" borderId="15" xfId="0" applyFont="1" applyFill="1" applyBorder="1" applyProtection="1">
      <protection hidden="1"/>
    </xf>
    <xf numFmtId="0" fontId="53" fillId="2" borderId="16" xfId="0" applyFont="1" applyFill="1" applyBorder="1" applyProtection="1">
      <protection hidden="1"/>
    </xf>
    <xf numFmtId="0" fontId="53" fillId="2" borderId="17" xfId="0" applyFont="1" applyFill="1" applyBorder="1" applyProtection="1">
      <protection hidden="1"/>
    </xf>
    <xf numFmtId="0" fontId="9" fillId="2" borderId="0" xfId="0" applyFont="1" applyFill="1" applyProtection="1">
      <protection hidden="1"/>
    </xf>
    <xf numFmtId="0" fontId="53" fillId="9" borderId="9" xfId="0" applyFont="1" applyFill="1" applyBorder="1" applyProtection="1">
      <protection hidden="1"/>
    </xf>
    <xf numFmtId="0" fontId="53" fillId="9" borderId="10" xfId="0" applyFont="1" applyFill="1" applyBorder="1" applyProtection="1">
      <protection hidden="1"/>
    </xf>
    <xf numFmtId="0" fontId="53" fillId="9" borderId="11" xfId="0" applyFont="1" applyFill="1" applyBorder="1" applyProtection="1">
      <protection hidden="1"/>
    </xf>
    <xf numFmtId="0" fontId="53" fillId="9" borderId="12" xfId="0" applyFont="1" applyFill="1" applyBorder="1" applyProtection="1">
      <protection hidden="1"/>
    </xf>
    <xf numFmtId="0" fontId="53" fillId="9" borderId="13" xfId="0" applyFont="1" applyFill="1" applyBorder="1" applyProtection="1">
      <protection hidden="1"/>
    </xf>
    <xf numFmtId="0" fontId="53" fillId="9" borderId="14" xfId="0" applyFont="1" applyFill="1" applyBorder="1" applyProtection="1">
      <protection hidden="1"/>
    </xf>
    <xf numFmtId="0" fontId="26" fillId="2" borderId="0" xfId="0" applyFont="1" applyFill="1" applyProtection="1">
      <protection hidden="1"/>
    </xf>
    <xf numFmtId="0" fontId="26" fillId="2" borderId="0" xfId="0" applyFont="1" applyFill="1" applyAlignment="1" applyProtection="1">
      <alignment vertical="top"/>
      <protection hidden="1"/>
    </xf>
    <xf numFmtId="1" fontId="0" fillId="2" borderId="0" xfId="0" applyNumberFormat="1" applyFill="1" applyProtection="1">
      <protection hidden="1"/>
    </xf>
    <xf numFmtId="0" fontId="53" fillId="9" borderId="15" xfId="0" applyFont="1" applyFill="1" applyBorder="1" applyProtection="1">
      <protection hidden="1"/>
    </xf>
    <xf numFmtId="0" fontId="53" fillId="9" borderId="16" xfId="0" applyFont="1" applyFill="1" applyBorder="1" applyProtection="1">
      <protection hidden="1"/>
    </xf>
    <xf numFmtId="0" fontId="53" fillId="9" borderId="17" xfId="0" applyFont="1" applyFill="1" applyBorder="1" applyProtection="1">
      <protection hidden="1"/>
    </xf>
    <xf numFmtId="0" fontId="2" fillId="2" borderId="0" xfId="0" applyFont="1" applyFill="1" applyBorder="1" applyProtection="1">
      <protection hidden="1"/>
    </xf>
    <xf numFmtId="0" fontId="54" fillId="2" borderId="0" xfId="0" applyFont="1" applyFill="1" applyProtection="1">
      <protection hidden="1"/>
    </xf>
    <xf numFmtId="0" fontId="0" fillId="2" borderId="0" xfId="0" applyFill="1" applyBorder="1" applyProtection="1">
      <protection hidden="1"/>
    </xf>
    <xf numFmtId="0" fontId="0" fillId="2" borderId="19" xfId="0" applyFill="1" applyBorder="1" applyProtection="1">
      <protection hidden="1"/>
    </xf>
    <xf numFmtId="0" fontId="1" fillId="2" borderId="20" xfId="0" applyFont="1"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53" fillId="2" borderId="0" xfId="0" applyFont="1" applyFill="1" applyBorder="1" applyProtection="1">
      <protection hidden="1"/>
    </xf>
    <xf numFmtId="0" fontId="0" fillId="2" borderId="22" xfId="0" applyFill="1" applyBorder="1" applyProtection="1">
      <protection hidden="1"/>
    </xf>
    <xf numFmtId="0" fontId="0" fillId="2" borderId="23" xfId="0" applyFill="1" applyBorder="1" applyProtection="1">
      <protection hidden="1"/>
    </xf>
    <xf numFmtId="0" fontId="53" fillId="2" borderId="23" xfId="0" applyFont="1" applyFill="1" applyBorder="1" applyProtection="1">
      <protection hidden="1"/>
    </xf>
    <xf numFmtId="0" fontId="6" fillId="2" borderId="0" xfId="0" applyFont="1" applyFill="1" applyBorder="1" applyProtection="1">
      <protection hidden="1"/>
    </xf>
    <xf numFmtId="0" fontId="54" fillId="2" borderId="0" xfId="0" applyFont="1" applyFill="1" applyAlignment="1" applyProtection="1">
      <alignment vertical="top"/>
      <protection hidden="1"/>
    </xf>
    <xf numFmtId="0" fontId="0" fillId="18" borderId="0" xfId="0" applyFill="1" applyProtection="1">
      <protection hidden="1"/>
    </xf>
    <xf numFmtId="0" fontId="25" fillId="5" borderId="0" xfId="0" applyFont="1" applyFill="1"/>
    <xf numFmtId="0" fontId="2" fillId="2" borderId="24" xfId="0" applyFont="1" applyFill="1" applyBorder="1" applyProtection="1">
      <protection hidden="1"/>
    </xf>
    <xf numFmtId="0" fontId="2" fillId="2" borderId="25" xfId="0" applyFont="1" applyFill="1" applyBorder="1" applyProtection="1">
      <protection hidden="1"/>
    </xf>
    <xf numFmtId="0" fontId="2" fillId="2" borderId="26" xfId="0" applyFont="1" applyFill="1" applyBorder="1" applyProtection="1">
      <protection hidden="1"/>
    </xf>
    <xf numFmtId="0" fontId="0" fillId="2" borderId="27" xfId="0" applyFill="1" applyBorder="1" applyProtection="1">
      <protection hidden="1"/>
    </xf>
    <xf numFmtId="2" fontId="55" fillId="2" borderId="0" xfId="0" applyNumberFormat="1" applyFont="1" applyFill="1" applyBorder="1" applyAlignment="1" applyProtection="1">
      <alignment horizontal="center" vertical="center"/>
      <protection hidden="1"/>
    </xf>
    <xf numFmtId="0" fontId="0" fillId="2" borderId="28" xfId="0" applyFill="1" applyBorder="1" applyProtection="1">
      <protection hidden="1"/>
    </xf>
    <xf numFmtId="0" fontId="0" fillId="2" borderId="27" xfId="0" applyFill="1" applyBorder="1"/>
    <xf numFmtId="0" fontId="28" fillId="2" borderId="0" xfId="0" applyFont="1" applyFill="1" applyBorder="1" applyProtection="1">
      <protection hidden="1"/>
    </xf>
    <xf numFmtId="0" fontId="53" fillId="2" borderId="29" xfId="0" applyFont="1" applyFill="1" applyBorder="1" applyProtection="1">
      <protection hidden="1"/>
    </xf>
    <xf numFmtId="0" fontId="53" fillId="2" borderId="30" xfId="0" applyFont="1" applyFill="1" applyBorder="1" applyProtection="1">
      <protection hidden="1"/>
    </xf>
    <xf numFmtId="0" fontId="53" fillId="2" borderId="31" xfId="0" applyFont="1" applyFill="1" applyBorder="1" applyProtection="1">
      <protection hidden="1"/>
    </xf>
    <xf numFmtId="0" fontId="0" fillId="2" borderId="28" xfId="0" applyFill="1" applyBorder="1"/>
    <xf numFmtId="0" fontId="0" fillId="2" borderId="32" xfId="0" applyFill="1" applyBorder="1"/>
    <xf numFmtId="0" fontId="0" fillId="2" borderId="33" xfId="0" applyFill="1" applyBorder="1"/>
    <xf numFmtId="0" fontId="0" fillId="2" borderId="33" xfId="0" applyFill="1" applyBorder="1" applyProtection="1">
      <protection hidden="1"/>
    </xf>
    <xf numFmtId="0" fontId="0" fillId="2" borderId="34" xfId="0" applyFill="1" applyBorder="1"/>
    <xf numFmtId="0" fontId="0" fillId="2" borderId="25" xfId="0" applyFill="1" applyBorder="1" applyProtection="1">
      <protection hidden="1"/>
    </xf>
    <xf numFmtId="0" fontId="0" fillId="2" borderId="26" xfId="0" applyFill="1" applyBorder="1" applyProtection="1">
      <protection hidden="1"/>
    </xf>
    <xf numFmtId="0" fontId="2" fillId="2" borderId="28" xfId="0" applyFont="1" applyFill="1" applyBorder="1" applyProtection="1">
      <protection hidden="1"/>
    </xf>
    <xf numFmtId="0" fontId="64" fillId="2" borderId="0" xfId="0" applyFont="1" applyFill="1" applyBorder="1" applyProtection="1">
      <protection hidden="1"/>
    </xf>
    <xf numFmtId="0" fontId="53" fillId="2" borderId="27" xfId="0" applyFont="1" applyFill="1" applyBorder="1" applyProtection="1">
      <protection hidden="1"/>
    </xf>
    <xf numFmtId="0" fontId="0" fillId="2" borderId="34" xfId="0" applyFill="1" applyBorder="1" applyProtection="1">
      <protection hidden="1"/>
    </xf>
    <xf numFmtId="0" fontId="0" fillId="2" borderId="24" xfId="0" applyFill="1" applyBorder="1" applyProtection="1">
      <protection hidden="1"/>
    </xf>
    <xf numFmtId="0" fontId="65" fillId="2" borderId="0" xfId="0" applyFont="1" applyFill="1" applyBorder="1" applyProtection="1">
      <protection hidden="1"/>
    </xf>
    <xf numFmtId="0" fontId="6" fillId="10" borderId="0" xfId="0" applyFont="1" applyFill="1"/>
    <xf numFmtId="0" fontId="2" fillId="9" borderId="0" xfId="0" applyFont="1" applyFill="1" applyProtection="1">
      <protection hidden="1"/>
    </xf>
    <xf numFmtId="0" fontId="50" fillId="6" borderId="0" xfId="0" applyFont="1" applyFill="1" applyProtection="1">
      <protection hidden="1"/>
    </xf>
    <xf numFmtId="0" fontId="25" fillId="6" borderId="0" xfId="0" applyFont="1" applyFill="1" applyProtection="1">
      <protection hidden="1"/>
    </xf>
    <xf numFmtId="0" fontId="67" fillId="5" borderId="0" xfId="0" applyFont="1" applyFill="1" applyAlignment="1" applyProtection="1">
      <alignment horizontal="center" vertical="center"/>
      <protection hidden="1"/>
    </xf>
    <xf numFmtId="0" fontId="67" fillId="22" borderId="0" xfId="0" applyFont="1" applyFill="1" applyAlignment="1" applyProtection="1">
      <alignment horizontal="center" vertical="center"/>
      <protection hidden="1"/>
    </xf>
    <xf numFmtId="2" fontId="2" fillId="24" borderId="0" xfId="0" applyNumberFormat="1" applyFont="1" applyFill="1" applyAlignment="1" applyProtection="1">
      <alignment horizontal="center" vertical="center"/>
      <protection hidden="1"/>
    </xf>
    <xf numFmtId="0" fontId="8" fillId="3" borderId="0" xfId="0" applyFont="1" applyFill="1" applyAlignment="1" applyProtection="1">
      <alignment horizontal="center"/>
      <protection hidden="1"/>
    </xf>
    <xf numFmtId="0" fontId="8" fillId="3" borderId="37" xfId="0" applyFont="1" applyFill="1" applyBorder="1" applyAlignment="1" applyProtection="1">
      <alignment horizontal="center"/>
      <protection hidden="1"/>
    </xf>
    <xf numFmtId="2" fontId="2" fillId="25" borderId="0" xfId="0" applyNumberFormat="1" applyFont="1" applyFill="1" applyAlignment="1" applyProtection="1">
      <alignment horizontal="center" vertical="center"/>
      <protection locked="0"/>
    </xf>
    <xf numFmtId="165" fontId="2" fillId="24" borderId="0" xfId="0" applyNumberFormat="1" applyFont="1" applyFill="1" applyAlignment="1" applyProtection="1">
      <alignment horizontal="center" vertical="center"/>
      <protection hidden="1"/>
    </xf>
    <xf numFmtId="0" fontId="8" fillId="5" borderId="0" xfId="0" applyFont="1" applyFill="1" applyBorder="1" applyAlignment="1" applyProtection="1">
      <alignment horizontal="center" vertical="center"/>
      <protection locked="0"/>
    </xf>
    <xf numFmtId="0" fontId="4" fillId="24" borderId="0" xfId="0" applyFont="1" applyFill="1" applyAlignment="1" applyProtection="1">
      <alignment horizontal="center" vertical="center"/>
      <protection locked="0"/>
    </xf>
    <xf numFmtId="0" fontId="4" fillId="24" borderId="2" xfId="0" applyFont="1" applyFill="1" applyBorder="1" applyAlignment="1" applyProtection="1">
      <alignment horizontal="center" vertical="center"/>
      <protection locked="0"/>
    </xf>
    <xf numFmtId="165" fontId="2" fillId="25" borderId="0" xfId="0" applyNumberFormat="1" applyFont="1" applyFill="1" applyAlignment="1" applyProtection="1">
      <alignment horizontal="center" vertical="center"/>
      <protection hidden="1"/>
    </xf>
    <xf numFmtId="0" fontId="8" fillId="6" borderId="0" xfId="0" applyFont="1" applyFill="1" applyAlignment="1" applyProtection="1">
      <alignment horizontal="center" vertical="center"/>
      <protection locked="0"/>
    </xf>
    <xf numFmtId="0" fontId="4" fillId="3" borderId="0" xfId="0" applyFont="1" applyFill="1" applyProtection="1">
      <protection hidden="1"/>
    </xf>
    <xf numFmtId="0" fontId="68" fillId="3" borderId="0" xfId="0" applyFont="1" applyFill="1" applyProtection="1">
      <protection hidden="1"/>
    </xf>
    <xf numFmtId="0" fontId="69" fillId="3" borderId="0" xfId="0" applyFont="1" applyFill="1" applyProtection="1">
      <protection hidden="1"/>
    </xf>
    <xf numFmtId="0" fontId="70" fillId="5" borderId="0" xfId="0" applyFont="1" applyFill="1" applyAlignment="1" applyProtection="1">
      <alignment horizontal="center" vertical="center"/>
      <protection hidden="1"/>
    </xf>
    <xf numFmtId="0" fontId="70" fillId="22" borderId="0" xfId="0" applyFont="1" applyFill="1" applyAlignment="1" applyProtection="1">
      <alignment horizontal="center" vertical="center"/>
      <protection hidden="1"/>
    </xf>
    <xf numFmtId="164" fontId="2" fillId="4" borderId="0" xfId="0" applyNumberFormat="1" applyFont="1" applyFill="1" applyAlignment="1" applyProtection="1">
      <alignment horizontal="center" vertical="center"/>
      <protection locked="0"/>
    </xf>
    <xf numFmtId="0" fontId="30" fillId="3" borderId="0" xfId="0" applyFont="1" applyFill="1" applyProtection="1">
      <protection hidden="1"/>
    </xf>
    <xf numFmtId="0" fontId="1" fillId="17" borderId="5" xfId="0" applyFont="1" applyFill="1" applyBorder="1" applyAlignment="1" applyProtection="1">
      <alignment horizontal="center" vertical="center"/>
      <protection hidden="1"/>
    </xf>
    <xf numFmtId="2" fontId="4" fillId="6" borderId="0" xfId="0" applyNumberFormat="1" applyFont="1" applyFill="1" applyAlignment="1" applyProtection="1">
      <alignment horizontal="center" vertical="center"/>
      <protection locked="0"/>
    </xf>
    <xf numFmtId="0" fontId="4" fillId="6" borderId="0" xfId="0" applyFont="1" applyFill="1" applyAlignment="1" applyProtection="1">
      <alignment horizontal="center" vertical="center"/>
      <protection locked="0"/>
    </xf>
    <xf numFmtId="0" fontId="8" fillId="6" borderId="0" xfId="0" applyFont="1" applyFill="1" applyAlignment="1" applyProtection="1">
      <alignment horizontal="center" vertical="center"/>
      <protection locked="0"/>
    </xf>
    <xf numFmtId="164" fontId="4" fillId="6" borderId="0" xfId="0" applyNumberFormat="1" applyFont="1" applyFill="1" applyAlignment="1" applyProtection="1">
      <alignment horizontal="center" vertical="center"/>
      <protection locked="0"/>
    </xf>
    <xf numFmtId="0" fontId="1" fillId="6" borderId="0" xfId="0" applyFont="1" applyFill="1" applyAlignment="1" applyProtection="1">
      <alignment horizontal="center" vertical="center"/>
      <protection locked="0"/>
    </xf>
    <xf numFmtId="166" fontId="1" fillId="2" borderId="0" xfId="0" applyNumberFormat="1" applyFont="1" applyFill="1" applyAlignment="1" applyProtection="1">
      <alignment horizontal="center" vertical="center"/>
      <protection hidden="1"/>
    </xf>
    <xf numFmtId="0" fontId="4" fillId="6" borderId="0" xfId="0" applyFont="1" applyFill="1" applyAlignment="1" applyProtection="1">
      <alignment horizontal="center" vertical="center"/>
      <protection hidden="1"/>
    </xf>
    <xf numFmtId="2" fontId="4" fillId="6" borderId="0" xfId="0" applyNumberFormat="1" applyFont="1" applyFill="1" applyAlignment="1" applyProtection="1">
      <alignment horizontal="center" vertical="center"/>
      <protection hidden="1"/>
    </xf>
    <xf numFmtId="164" fontId="4" fillId="6" borderId="0" xfId="0" applyNumberFormat="1" applyFont="1" applyFill="1" applyAlignment="1" applyProtection="1">
      <alignment horizontal="center" vertical="center"/>
      <protection hidden="1"/>
    </xf>
    <xf numFmtId="0" fontId="1" fillId="6" borderId="0" xfId="0" applyFont="1" applyFill="1" applyAlignment="1" applyProtection="1">
      <alignment vertical="center"/>
      <protection hidden="1"/>
    </xf>
    <xf numFmtId="0" fontId="2" fillId="18" borderId="0" xfId="0" applyFont="1" applyFill="1" applyAlignment="1" applyProtection="1">
      <alignment horizontal="center" vertical="center"/>
      <protection hidden="1"/>
    </xf>
    <xf numFmtId="0" fontId="14" fillId="12" borderId="0" xfId="0" applyFont="1" applyFill="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66" fillId="6"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4" fillId="5" borderId="0" xfId="0" applyFont="1" applyFill="1" applyAlignment="1" applyProtection="1">
      <alignment horizontal="center" vertical="center"/>
      <protection hidden="1"/>
    </xf>
    <xf numFmtId="0" fontId="4" fillId="5" borderId="0" xfId="0" applyFont="1" applyFill="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62" fillId="9" borderId="0" xfId="0" applyFont="1" applyFill="1" applyAlignment="1" applyProtection="1">
      <alignment horizontal="center" vertical="center"/>
      <protection hidden="1"/>
    </xf>
    <xf numFmtId="0" fontId="62" fillId="9" borderId="0" xfId="0" applyFont="1" applyFill="1" applyAlignment="1" applyProtection="1">
      <alignment horizontal="center"/>
      <protection hidden="1"/>
    </xf>
    <xf numFmtId="0" fontId="2" fillId="4" borderId="0" xfId="0" applyFont="1" applyFill="1" applyAlignment="1" applyProtection="1">
      <alignment horizontal="center"/>
      <protection locked="0"/>
    </xf>
    <xf numFmtId="0" fontId="2" fillId="4" borderId="2" xfId="0" applyFont="1" applyFill="1" applyBorder="1" applyAlignment="1" applyProtection="1">
      <alignment horizontal="center"/>
      <protection locked="0"/>
    </xf>
    <xf numFmtId="0" fontId="2" fillId="4" borderId="0" xfId="0" applyFont="1" applyFill="1" applyBorder="1" applyAlignment="1" applyProtection="1">
      <alignment horizontal="center"/>
      <protection locked="0"/>
    </xf>
    <xf numFmtId="2" fontId="8" fillId="5" borderId="0" xfId="0" applyNumberFormat="1" applyFont="1" applyFill="1" applyAlignment="1" applyProtection="1">
      <alignment horizontal="center" vertical="center"/>
      <protection locked="0"/>
    </xf>
    <xf numFmtId="0" fontId="4" fillId="4" borderId="0" xfId="0" applyFont="1" applyFill="1" applyAlignment="1" applyProtection="1">
      <alignment horizontal="center"/>
      <protection locked="0"/>
    </xf>
    <xf numFmtId="0" fontId="63" fillId="2" borderId="0" xfId="1" applyFont="1" applyFill="1" applyAlignment="1" applyProtection="1">
      <alignment horizontal="center" vertical="center"/>
      <protection hidden="1"/>
    </xf>
    <xf numFmtId="0" fontId="3" fillId="9"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center"/>
      <protection hidden="1"/>
    </xf>
    <xf numFmtId="0" fontId="2" fillId="3" borderId="0" xfId="0" applyFont="1" applyFill="1" applyAlignment="1" applyProtection="1">
      <alignment horizontal="center"/>
      <protection hidden="1"/>
    </xf>
    <xf numFmtId="0" fontId="6" fillId="3" borderId="0" xfId="0" applyFont="1" applyFill="1" applyAlignment="1">
      <alignment horizontal="center" vertical="center"/>
    </xf>
    <xf numFmtId="0" fontId="6" fillId="3" borderId="0" xfId="0" applyFont="1" applyFill="1" applyAlignment="1" applyProtection="1">
      <alignment horizontal="center" vertical="center"/>
      <protection hidden="1"/>
    </xf>
    <xf numFmtId="2" fontId="2" fillId="6" borderId="0" xfId="0" applyNumberFormat="1" applyFont="1" applyFill="1" applyAlignment="1">
      <alignment horizontal="center" vertical="center"/>
    </xf>
    <xf numFmtId="0" fontId="11" fillId="4" borderId="0" xfId="0" applyFont="1" applyFill="1" applyAlignment="1" applyProtection="1">
      <alignment horizontal="center"/>
      <protection locked="0"/>
    </xf>
    <xf numFmtId="0" fontId="23" fillId="2" borderId="0" xfId="0" applyFont="1" applyFill="1" applyAlignment="1">
      <alignment horizontal="center"/>
    </xf>
    <xf numFmtId="0" fontId="2" fillId="2" borderId="0" xfId="0" applyFont="1" applyFill="1" applyAlignment="1" applyProtection="1">
      <alignment horizontal="center" vertical="center"/>
      <protection hidden="1"/>
    </xf>
    <xf numFmtId="0" fontId="3" fillId="2" borderId="0" xfId="0" applyFont="1" applyFill="1" applyAlignment="1">
      <alignment horizontal="center" vertical="center"/>
    </xf>
    <xf numFmtId="0" fontId="2" fillId="2" borderId="2" xfId="0" applyFont="1" applyFill="1" applyBorder="1" applyAlignment="1" applyProtection="1">
      <alignment horizontal="center" vertical="center"/>
      <protection hidden="1"/>
    </xf>
    <xf numFmtId="0" fontId="61" fillId="5" borderId="0" xfId="0" applyFont="1" applyFill="1" applyAlignment="1" applyProtection="1">
      <alignment horizontal="center" vertical="center"/>
      <protection hidden="1"/>
    </xf>
    <xf numFmtId="0" fontId="8" fillId="2" borderId="0" xfId="0" applyFont="1" applyFill="1" applyAlignment="1">
      <alignment horizontal="center"/>
    </xf>
    <xf numFmtId="0" fontId="2" fillId="2" borderId="0" xfId="0" applyFont="1" applyFill="1" applyAlignment="1">
      <alignment horizontal="center"/>
    </xf>
    <xf numFmtId="0" fontId="13" fillId="2" borderId="0" xfId="0" applyFont="1" applyFill="1" applyAlignment="1">
      <alignment horizontal="center"/>
    </xf>
    <xf numFmtId="0" fontId="31" fillId="2" borderId="0" xfId="0" applyFont="1" applyFill="1" applyAlignment="1">
      <alignment horizontal="center" vertical="center"/>
    </xf>
    <xf numFmtId="0" fontId="2" fillId="4" borderId="2"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11" fillId="2" borderId="0" xfId="0" applyFont="1" applyFill="1" applyAlignment="1">
      <alignment horizontal="center"/>
    </xf>
    <xf numFmtId="0" fontId="6" fillId="2" borderId="0" xfId="0" applyFont="1" applyFill="1" applyBorder="1" applyAlignment="1" applyProtection="1">
      <alignment horizontal="center" vertical="center"/>
      <protection hidden="1"/>
    </xf>
    <xf numFmtId="0" fontId="8" fillId="7" borderId="28" xfId="0"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protection locked="0"/>
    </xf>
    <xf numFmtId="0" fontId="8" fillId="14" borderId="28" xfId="0" applyFont="1" applyFill="1" applyBorder="1" applyAlignment="1" applyProtection="1">
      <alignment horizontal="center" vertical="center"/>
      <protection locked="0"/>
    </xf>
    <xf numFmtId="0" fontId="8" fillId="14" borderId="0" xfId="0" applyFont="1" applyFill="1" applyBorder="1" applyAlignment="1" applyProtection="1">
      <alignment horizontal="center" vertical="center"/>
      <protection locked="0"/>
    </xf>
    <xf numFmtId="0" fontId="8" fillId="14" borderId="36" xfId="0" applyFont="1" applyFill="1" applyBorder="1" applyAlignment="1" applyProtection="1">
      <alignment horizontal="center" vertical="center"/>
      <protection locked="0"/>
    </xf>
    <xf numFmtId="0" fontId="8" fillId="14" borderId="2" xfId="0" applyFont="1" applyFill="1" applyBorder="1" applyAlignment="1" applyProtection="1">
      <alignment horizontal="center" vertical="center"/>
      <protection locked="0"/>
    </xf>
    <xf numFmtId="0" fontId="57" fillId="2" borderId="28" xfId="0" applyFont="1" applyFill="1" applyBorder="1" applyAlignment="1" applyProtection="1">
      <alignment horizontal="center" vertical="center"/>
      <protection hidden="1"/>
    </xf>
    <xf numFmtId="0" fontId="57" fillId="2" borderId="0" xfId="0" applyFont="1" applyFill="1" applyBorder="1" applyAlignment="1" applyProtection="1">
      <alignment horizontal="center" vertical="center"/>
      <protection hidden="1"/>
    </xf>
    <xf numFmtId="2" fontId="8" fillId="5" borderId="0"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hidden="1"/>
    </xf>
    <xf numFmtId="164" fontId="8" fillId="5" borderId="0" xfId="0" applyNumberFormat="1" applyFont="1" applyFill="1" applyAlignment="1" applyProtection="1">
      <alignment horizontal="center" vertical="center"/>
      <protection hidden="1"/>
    </xf>
    <xf numFmtId="0" fontId="0" fillId="2" borderId="1" xfId="0" applyFill="1" applyBorder="1" applyProtection="1">
      <protection hidden="1"/>
    </xf>
    <xf numFmtId="0" fontId="0" fillId="2" borderId="2" xfId="0" applyFill="1" applyBorder="1" applyProtection="1">
      <protection hidden="1"/>
    </xf>
    <xf numFmtId="0" fontId="0" fillId="2" borderId="38" xfId="0" applyFill="1" applyBorder="1" applyProtection="1">
      <protection hidden="1"/>
    </xf>
    <xf numFmtId="0" fontId="0" fillId="2" borderId="3" xfId="0" applyFill="1" applyBorder="1" applyProtection="1">
      <protection hidden="1"/>
    </xf>
    <xf numFmtId="0" fontId="2" fillId="2" borderId="39" xfId="0" applyFont="1" applyFill="1" applyBorder="1" applyProtection="1">
      <protection hidden="1"/>
    </xf>
    <xf numFmtId="0" fontId="0" fillId="2" borderId="39" xfId="0" applyFill="1" applyBorder="1"/>
    <xf numFmtId="0" fontId="0" fillId="2" borderId="39" xfId="0" applyFill="1" applyBorder="1" applyProtection="1">
      <protection hidden="1"/>
    </xf>
    <xf numFmtId="2" fontId="8" fillId="26" borderId="0" xfId="0" applyNumberFormat="1" applyFont="1" applyFill="1"/>
    <xf numFmtId="0" fontId="73" fillId="10" borderId="0" xfId="1" applyFont="1" applyFill="1" applyAlignment="1" applyProtection="1"/>
    <xf numFmtId="0" fontId="73" fillId="23" borderId="0" xfId="1" applyFont="1" applyFill="1" applyAlignment="1" applyProtection="1"/>
  </cellXfs>
  <cellStyles count="2">
    <cellStyle name="Hyperlink" xfId="1" builtinId="8"/>
    <cellStyle name="Normal" xfId="0" builtinId="0"/>
  </cellStyles>
  <dxfs count="17">
    <dxf>
      <fill>
        <patternFill>
          <bgColor indexed="58"/>
        </patternFill>
      </fill>
    </dxf>
    <dxf>
      <fill>
        <patternFill>
          <bgColor indexed="59"/>
        </patternFill>
      </fill>
    </dxf>
    <dxf>
      <fill>
        <patternFill>
          <bgColor indexed="40"/>
        </patternFill>
      </fill>
    </dxf>
    <dxf>
      <fill>
        <patternFill>
          <bgColor indexed="11"/>
        </patternFill>
      </fill>
    </dxf>
    <dxf>
      <fill>
        <patternFill>
          <bgColor indexed="8"/>
        </patternFill>
      </fill>
    </dxf>
    <dxf>
      <fill>
        <patternFill>
          <bgColor indexed="10"/>
        </patternFill>
      </fill>
    </dxf>
    <dxf>
      <fill>
        <patternFill>
          <bgColor indexed="8"/>
        </patternFill>
      </fill>
    </dxf>
    <dxf>
      <fill>
        <patternFill>
          <bgColor indexed="10"/>
        </patternFill>
      </fill>
    </dxf>
    <dxf>
      <fill>
        <patternFill>
          <bgColor indexed="8"/>
        </patternFill>
      </fill>
    </dxf>
    <dxf>
      <fill>
        <patternFill>
          <bgColor indexed="8"/>
        </patternFill>
      </fill>
    </dxf>
    <dxf>
      <fill>
        <patternFill>
          <bgColor indexed="10"/>
        </patternFill>
      </fill>
    </dxf>
    <dxf>
      <fill>
        <patternFill>
          <bgColor indexed="8"/>
        </patternFill>
      </fill>
    </dxf>
    <dxf>
      <fill>
        <patternFill>
          <bgColor indexed="10"/>
        </patternFill>
      </fill>
    </dxf>
    <dxf>
      <font>
        <condense val="0"/>
        <extend val="0"/>
        <color indexed="47"/>
      </font>
    </dxf>
    <dxf>
      <font>
        <condense val="0"/>
        <extend val="0"/>
        <color indexed="47"/>
      </font>
    </dxf>
    <dxf>
      <font>
        <condense val="0"/>
        <extend val="0"/>
        <color indexed="13"/>
      </font>
    </dxf>
    <dxf>
      <font>
        <condense val="0"/>
        <extend val="0"/>
        <color indexed="13"/>
      </font>
    </dxf>
  </dxfs>
  <tableStyles count="0" defaultTableStyle="TableStyleMedium9" defaultPivotStyle="PivotStyleLight16"/>
  <colors>
    <mruColors>
      <color rgb="FF0000CC"/>
      <color rgb="FFCCFFFF"/>
      <color rgb="FF00FFFF"/>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8627629323963349"/>
          <c:y val="0.26618798542879335"/>
          <c:w val="0.63726100318822065"/>
          <c:h val="0.4676275419695024"/>
        </c:manualLayout>
      </c:layout>
      <c:pieChart>
        <c:varyColors val="1"/>
        <c:ser>
          <c:idx val="0"/>
          <c:order val="0"/>
          <c:spPr>
            <a:solidFill>
              <a:srgbClr val="9999FF"/>
            </a:solidFill>
            <a:ln w="12700">
              <a:solidFill>
                <a:srgbClr val="000000"/>
              </a:solidFill>
              <a:prstDash val="solid"/>
            </a:ln>
          </c:spPr>
          <c:dPt>
            <c:idx val="0"/>
            <c:spPr>
              <a:solidFill>
                <a:srgbClr val="FFFF00"/>
              </a:solidFill>
              <a:ln w="12700">
                <a:solidFill>
                  <a:srgbClr val="000000"/>
                </a:solidFill>
                <a:prstDash val="solid"/>
              </a:ln>
            </c:spPr>
          </c:dPt>
          <c:dPt>
            <c:idx val="1"/>
            <c:spPr>
              <a:solidFill>
                <a:srgbClr val="00FF00"/>
              </a:solidFill>
              <a:ln w="12700">
                <a:solidFill>
                  <a:srgbClr val="000000"/>
                </a:solidFill>
                <a:prstDash val="solid"/>
              </a:ln>
            </c:spPr>
          </c:dPt>
          <c:val>
            <c:numRef>
              <c:f>'Μετατρ κλάσμ σε δεκαδ.σε επιφ1'!$H$33:$H$34</c:f>
              <c:numCache>
                <c:formatCode>General</c:formatCode>
                <c:ptCount val="2"/>
                <c:pt idx="0">
                  <c:v>0</c:v>
                </c:pt>
                <c:pt idx="1">
                  <c:v>5</c:v>
                </c:pt>
              </c:numCache>
            </c:numRef>
          </c:val>
        </c:ser>
        <c:firstSliceAng val="0"/>
      </c:pieChart>
      <c:spPr>
        <a:noFill/>
        <a:ln w="25400">
          <a:noFill/>
        </a:ln>
      </c:spPr>
    </c:plotArea>
    <c:plotVisOnly val="1"/>
    <c:dispBlanksAs val="zero"/>
  </c:chart>
  <c:spPr>
    <a:solidFill>
      <a:srgbClr val="00FF00"/>
    </a:solidFill>
    <a:ln w="3175">
      <a:solidFill>
        <a:srgbClr val="000000"/>
      </a:solidFill>
      <a:prstDash val="solid"/>
    </a:ln>
  </c:spPr>
  <c:txPr>
    <a:bodyPr/>
    <a:lstStyle/>
    <a:p>
      <a:pPr>
        <a:defRPr sz="1000" b="0" i="0" u="none" strike="noStrike" baseline="0">
          <a:solidFill>
            <a:srgbClr val="000000"/>
          </a:solidFill>
          <a:latin typeface="Comic Sans MS"/>
          <a:ea typeface="Comic Sans MS"/>
          <a:cs typeface="Comic Sans MS"/>
        </a:defRPr>
      </a:pPr>
      <a:endParaRPr lang="en-US"/>
    </a:p>
  </c:txPr>
  <c:printSettings>
    <c:headerFooter alignWithMargins="0"/>
    <c:pageMargins b="1" l="0.75000000000000122" r="0.750000000000001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5671641791044824"/>
          <c:y val="0.20512948924209548"/>
          <c:w val="0.69402985074626866"/>
          <c:h val="0.59615757810983849"/>
        </c:manualLayout>
      </c:layout>
      <c:pieChart>
        <c:varyColors val="1"/>
        <c:ser>
          <c:idx val="0"/>
          <c:order val="0"/>
          <c:spPr>
            <a:solidFill>
              <a:srgbClr val="9999FF"/>
            </a:solidFill>
            <a:ln w="12700">
              <a:solidFill>
                <a:srgbClr val="000000"/>
              </a:solidFill>
              <a:prstDash val="solid"/>
            </a:ln>
          </c:spPr>
          <c:dPt>
            <c:idx val="0"/>
            <c:spPr>
              <a:solidFill>
                <a:srgbClr val="FFFF00"/>
              </a:solidFill>
              <a:ln w="12700">
                <a:solidFill>
                  <a:srgbClr val="000000"/>
                </a:solidFill>
                <a:prstDash val="solid"/>
              </a:ln>
            </c:spPr>
          </c:dPt>
          <c:dPt>
            <c:idx val="1"/>
            <c:spPr>
              <a:solidFill>
                <a:srgbClr val="00FF00"/>
              </a:solidFill>
              <a:ln w="12700">
                <a:solidFill>
                  <a:srgbClr val="000000"/>
                </a:solidFill>
                <a:prstDash val="solid"/>
              </a:ln>
            </c:spPr>
          </c:dPt>
          <c:val>
            <c:numRef>
              <c:f>'Μετατρ κλάσμ σε δεκαδ.σε επιφ1'!$H$60:$H$61</c:f>
              <c:numCache>
                <c:formatCode>General</c:formatCode>
                <c:ptCount val="2"/>
                <c:pt idx="0">
                  <c:v>1</c:v>
                </c:pt>
                <c:pt idx="1">
                  <c:v>19</c:v>
                </c:pt>
              </c:numCache>
            </c:numRef>
          </c:val>
        </c:ser>
        <c:firstSliceAng val="0"/>
      </c:pieChart>
      <c:spPr>
        <a:noFill/>
        <a:ln w="25400">
          <a:noFill/>
        </a:ln>
      </c:spPr>
    </c:plotArea>
    <c:plotVisOnly val="1"/>
    <c:dispBlanksAs val="zero"/>
  </c:chart>
  <c:spPr>
    <a:solidFill>
      <a:srgbClr val="00FF00"/>
    </a:solidFill>
    <a:ln w="3175">
      <a:solidFill>
        <a:srgbClr val="000000"/>
      </a:solidFill>
      <a:prstDash val="solid"/>
    </a:ln>
  </c:spPr>
  <c:txPr>
    <a:bodyPr/>
    <a:lstStyle/>
    <a:p>
      <a:pPr>
        <a:defRPr sz="1000" b="0" i="0" u="none" strike="noStrike" baseline="0">
          <a:solidFill>
            <a:srgbClr val="000000"/>
          </a:solidFill>
          <a:latin typeface="Comic Sans MS"/>
          <a:ea typeface="Comic Sans MS"/>
          <a:cs typeface="Comic Sans MS"/>
        </a:defRPr>
      </a:pPr>
      <a:endParaRPr lang="en-US"/>
    </a:p>
  </c:txPr>
  <c:printSettings>
    <c:headerFooter alignWithMargins="0"/>
    <c:pageMargins b="1" l="0.75000000000000122" r="0.750000000000001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pieChart>
        <c:varyColors val="1"/>
        <c:ser>
          <c:idx val="0"/>
          <c:order val="0"/>
          <c:spPr>
            <a:noFill/>
            <a:ln>
              <a:solidFill>
                <a:srgbClr val="0000CC"/>
              </a:solidFill>
            </a:ln>
          </c:spPr>
          <c:dPt>
            <c:idx val="0"/>
            <c:spPr>
              <a:solidFill>
                <a:srgbClr val="FF0000"/>
              </a:solidFill>
              <a:ln>
                <a:solidFill>
                  <a:srgbClr val="0000CC"/>
                </a:solidFill>
              </a:ln>
            </c:spPr>
          </c:dPt>
          <c:val>
            <c:numRef>
              <c:f>'Μετατρ κλάσμ σε δεκαδ.σε επιφ1'!$D$15:$D$16</c:f>
              <c:numCache>
                <c:formatCode>General</c:formatCode>
                <c:ptCount val="2"/>
                <c:pt idx="0">
                  <c:v>33.333333333333336</c:v>
                </c:pt>
                <c:pt idx="1">
                  <c:v>66.666666666666657</c:v>
                </c:pt>
              </c:numCache>
            </c:numRef>
          </c:val>
        </c:ser>
        <c:firstSliceAng val="0"/>
      </c:pieChart>
    </c:plotArea>
    <c:plotVisOnly val="1"/>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100"/>
            </a:pPr>
            <a:r>
              <a:rPr lang="el-GR" sz="1100"/>
              <a:t>Κλάσμα σε ποσοστό</a:t>
            </a:r>
            <a:endParaRPr lang="en-GB" sz="1100"/>
          </a:p>
        </c:rich>
      </c:tx>
      <c:layout/>
    </c:title>
    <c:plotArea>
      <c:layout/>
      <c:pieChart>
        <c:varyColors val="1"/>
        <c:ser>
          <c:idx val="0"/>
          <c:order val="0"/>
          <c:spPr>
            <a:solidFill>
              <a:srgbClr val="FF0000"/>
            </a:solidFill>
            <a:ln>
              <a:solidFill>
                <a:schemeClr val="tx1"/>
              </a:solidFill>
            </a:ln>
          </c:spPr>
          <c:dPt>
            <c:idx val="1"/>
            <c:spPr>
              <a:solidFill>
                <a:schemeClr val="bg1"/>
              </a:solidFill>
              <a:ln>
                <a:solidFill>
                  <a:schemeClr val="tx1"/>
                </a:solidFill>
              </a:ln>
            </c:spPr>
          </c:dPt>
          <c:dLbls>
            <c:dLbl>
              <c:idx val="1"/>
              <c:delete val="1"/>
            </c:dLbl>
            <c:showPercent val="1"/>
            <c:showLeaderLines val="1"/>
          </c:dLbls>
          <c:val>
            <c:numRef>
              <c:f>'Μετατροπή κλάσμ σε ποσοστό'!$Q$8:$Q$9</c:f>
              <c:numCache>
                <c:formatCode>General</c:formatCode>
                <c:ptCount val="2"/>
                <c:pt idx="0">
                  <c:v>20</c:v>
                </c:pt>
                <c:pt idx="1">
                  <c:v>80</c:v>
                </c:pt>
              </c:numCache>
            </c:numRef>
          </c:val>
        </c:ser>
        <c:dLbls>
          <c:showPercent val="1"/>
        </c:dLbls>
        <c:firstSliceAng val="0"/>
      </c:pieChart>
    </c:plotArea>
    <c:plotVisOnly val="1"/>
  </c:chart>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8" Type="http://schemas.openxmlformats.org/officeDocument/2006/relationships/hyperlink" Target="#&#928;&#917;&#929;&#921;&#917;&#935;&#927;&#924;&#917;&#925;&#913;!A1"/><Relationship Id="rId3" Type="http://schemas.openxmlformats.org/officeDocument/2006/relationships/hyperlink" Target="#A1"/><Relationship Id="rId7" Type="http://schemas.openxmlformats.org/officeDocument/2006/relationships/hyperlink" Target="#A1"/><Relationship Id="rId2" Type="http://schemas.openxmlformats.org/officeDocument/2006/relationships/hyperlink" Target="#A1"/><Relationship Id="rId1" Type="http://schemas.openxmlformats.org/officeDocument/2006/relationships/hyperlink" Target="#D258"/><Relationship Id="rId6" Type="http://schemas.openxmlformats.org/officeDocument/2006/relationships/hyperlink" Target="#A1"/><Relationship Id="rId5" Type="http://schemas.openxmlformats.org/officeDocument/2006/relationships/hyperlink" Target="#A1"/><Relationship Id="rId4" Type="http://schemas.openxmlformats.org/officeDocument/2006/relationships/hyperlink" Target="#A1"/><Relationship Id="rId9" Type="http://schemas.openxmlformats.org/officeDocument/2006/relationships/image" Target="../media/image1.wmf"/></Relationships>
</file>

<file path=xl/drawings/_rels/drawing3.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hyperlink" Target="#A1"/><Relationship Id="rId7" Type="http://schemas.openxmlformats.org/officeDocument/2006/relationships/image" Target="../media/image5.wmf"/><Relationship Id="rId2" Type="http://schemas.openxmlformats.org/officeDocument/2006/relationships/hyperlink" Target="#&#928;&#917;&#929;&#921;&#917;&#935;&#927;&#924;&#917;&#925;&#913;!A1"/><Relationship Id="rId1" Type="http://schemas.openxmlformats.org/officeDocument/2006/relationships/image" Target="../media/image1.wmf"/><Relationship Id="rId6" Type="http://schemas.openxmlformats.org/officeDocument/2006/relationships/hyperlink" Target="#A1"/><Relationship Id="rId11" Type="http://schemas.openxmlformats.org/officeDocument/2006/relationships/chart" Target="../charts/chart3.xml"/><Relationship Id="rId5" Type="http://schemas.openxmlformats.org/officeDocument/2006/relationships/image" Target="http://www.olympiafest.gr/images/films/cirkeline3.jpg" TargetMode="External"/><Relationship Id="rId10" Type="http://schemas.openxmlformats.org/officeDocument/2006/relationships/chart" Target="../charts/chart2.xml"/><Relationship Id="rId4" Type="http://schemas.openxmlformats.org/officeDocument/2006/relationships/image" Target="../media/image4.jpeg"/><Relationship Id="rId9" Type="http://schemas.openxmlformats.org/officeDocument/2006/relationships/hyperlink" Target="#A1"/></Relationships>
</file>

<file path=xl/drawings/_rels/drawing4.xml.rels><?xml version="1.0" encoding="UTF-8" standalone="yes"?>
<Relationships xmlns="http://schemas.openxmlformats.org/package/2006/relationships"><Relationship Id="rId3" Type="http://schemas.openxmlformats.org/officeDocument/2006/relationships/hyperlink" Target="#&#928;&#917;&#929;&#921;&#917;&#935;&#927;&#924;&#917;&#925;&#913;!A1"/><Relationship Id="rId2" Type="http://schemas.openxmlformats.org/officeDocument/2006/relationships/image" Target="../media/image6.gif"/><Relationship Id="rId1" Type="http://schemas.openxmlformats.org/officeDocument/2006/relationships/hyperlink" Target="#&#928;&#917;&#929;&#921;&#917;&#935;&#927;&#924;&#917;&#925;&#913;!A1"/></Relationships>
</file>

<file path=xl/drawings/_rels/drawing5.xml.rels><?xml version="1.0" encoding="UTF-8" standalone="yes"?>
<Relationships xmlns="http://schemas.openxmlformats.org/package/2006/relationships"><Relationship Id="rId8" Type="http://schemas.openxmlformats.org/officeDocument/2006/relationships/hyperlink" Target="#&#928;&#917;&#929;&#921;&#917;&#935;&#927;&#924;&#917;&#925;&#913;!A1"/><Relationship Id="rId3" Type="http://schemas.openxmlformats.org/officeDocument/2006/relationships/hyperlink" Target="#A1"/><Relationship Id="rId7" Type="http://schemas.openxmlformats.org/officeDocument/2006/relationships/hyperlink" Target="#A1"/><Relationship Id="rId2" Type="http://schemas.openxmlformats.org/officeDocument/2006/relationships/hyperlink" Target="#A1"/><Relationship Id="rId1" Type="http://schemas.openxmlformats.org/officeDocument/2006/relationships/hyperlink" Target="#D258"/><Relationship Id="rId6" Type="http://schemas.openxmlformats.org/officeDocument/2006/relationships/hyperlink" Target="#A1"/><Relationship Id="rId5" Type="http://schemas.openxmlformats.org/officeDocument/2006/relationships/hyperlink" Target="#A1"/><Relationship Id="rId10" Type="http://schemas.openxmlformats.org/officeDocument/2006/relationships/chart" Target="../charts/chart4.xml"/><Relationship Id="rId4" Type="http://schemas.openxmlformats.org/officeDocument/2006/relationships/hyperlink" Target="#A1"/><Relationship Id="rId9" Type="http://schemas.openxmlformats.org/officeDocument/2006/relationships/image" Target="../media/image1.wmf"/></Relationships>
</file>

<file path=xl/drawings/_rels/drawing6.xml.rels><?xml version="1.0" encoding="UTF-8" standalone="yes"?>
<Relationships xmlns="http://schemas.openxmlformats.org/package/2006/relationships"><Relationship Id="rId2" Type="http://schemas.openxmlformats.org/officeDocument/2006/relationships/hyperlink" Target="#A1"/><Relationship Id="rId1" Type="http://schemas.openxmlformats.org/officeDocument/2006/relationships/hyperlink" Target="#&#928;&#917;&#929;&#921;&#917;&#935;&#927;&#924;&#917;&#925;&#913;!A1"/></Relationships>
</file>

<file path=xl/drawings/_rels/drawing7.xml.rels><?xml version="1.0" encoding="UTF-8" standalone="yes"?>
<Relationships xmlns="http://schemas.openxmlformats.org/package/2006/relationships"><Relationship Id="rId3" Type="http://schemas.openxmlformats.org/officeDocument/2006/relationships/hyperlink" Target="#'&#932;&#959; &#954;&#945;&#961;&#957;&#945;&#946;&#940;&#955;&#953; &#964;&#969;&#957; &#945;&#961;&#953;&#952;&#956;&#974;&#957;'!A1"/><Relationship Id="rId2" Type="http://schemas.openxmlformats.org/officeDocument/2006/relationships/hyperlink" Target="#&#928;&#917;&#929;&#921;&#917;&#935;&#927;&#924;&#917;&#925;&#913;!A1"/><Relationship Id="rId1" Type="http://schemas.openxmlformats.org/officeDocument/2006/relationships/hyperlink" Target="#'&#932;&#959; &#954;&#945;&#961;&#957;&#945;&#946;&#940;&#955;&#953; &#964;&#969;&#957; &#945;&#961;&#953;&#952;&#956;&#974;&#957;'!A1"/></Relationships>
</file>

<file path=xl/drawings/_rels/drawing8.xml.rels><?xml version="1.0" encoding="UTF-8" standalone="yes"?>
<Relationships xmlns="http://schemas.openxmlformats.org/package/2006/relationships"><Relationship Id="rId1" Type="http://schemas.openxmlformats.org/officeDocument/2006/relationships/hyperlink" Target="#&#928;&#917;&#929;&#921;&#917;&#935;&#927;&#924;&#917;&#925;&#913;!A1"/></Relationships>
</file>

<file path=xl/drawings/_rels/drawing9.xml.rels><?xml version="1.0" encoding="UTF-8" standalone="yes"?>
<Relationships xmlns="http://schemas.openxmlformats.org/package/2006/relationships"><Relationship Id="rId3" Type="http://schemas.openxmlformats.org/officeDocument/2006/relationships/hyperlink" Target="#&#928;&#917;&#929;&#921;&#917;&#935;&#927;&#924;&#917;&#925;&#913;!A1"/><Relationship Id="rId2" Type="http://schemas.openxmlformats.org/officeDocument/2006/relationships/hyperlink" Target="#A1"/><Relationship Id="rId1" Type="http://schemas.openxmlformats.org/officeDocument/2006/relationships/hyperlink" Target="#A1"/><Relationship Id="rId6" Type="http://schemas.openxmlformats.org/officeDocument/2006/relationships/hyperlink" Target="#A1"/><Relationship Id="rId5" Type="http://schemas.openxmlformats.org/officeDocument/2006/relationships/image" Target="../media/image8.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66675</xdr:rowOff>
    </xdr:from>
    <xdr:to>
      <xdr:col>2</xdr:col>
      <xdr:colOff>3819525</xdr:colOff>
      <xdr:row>1</xdr:row>
      <xdr:rowOff>590550</xdr:rowOff>
    </xdr:to>
    <xdr:sp macro="" textlink="">
      <xdr:nvSpPr>
        <xdr:cNvPr id="3073" name="WordArt 1"/>
        <xdr:cNvSpPr>
          <a:spLocks noChangeArrowheads="1" noChangeShapeType="1" noTextEdit="1"/>
        </xdr:cNvSpPr>
      </xdr:nvSpPr>
      <xdr:spPr bwMode="auto">
        <a:xfrm>
          <a:off x="190500" y="361950"/>
          <a:ext cx="4124325" cy="52387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Κλάσματα</a:t>
          </a:r>
          <a:r>
            <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 </a:t>
          </a:r>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Δεκαδικοί</a:t>
          </a:r>
          <a:r>
            <a:rPr lang="el-GR" sz="3600" b="1" kern="10" spc="0" baseline="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 - Ποσοστά</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xdr:col>
      <xdr:colOff>4238625</xdr:colOff>
      <xdr:row>0</xdr:row>
      <xdr:rowOff>285750</xdr:rowOff>
    </xdr:from>
    <xdr:to>
      <xdr:col>3</xdr:col>
      <xdr:colOff>85725</xdr:colOff>
      <xdr:row>2</xdr:row>
      <xdr:rowOff>428625</xdr:rowOff>
    </xdr:to>
    <xdr:sp macro="" textlink="">
      <xdr:nvSpPr>
        <xdr:cNvPr id="3080" name="AutoShape 8" descr="90%"/>
        <xdr:cNvSpPr>
          <a:spLocks noChangeArrowheads="1"/>
        </xdr:cNvSpPr>
      </xdr:nvSpPr>
      <xdr:spPr bwMode="auto">
        <a:xfrm>
          <a:off x="4733925" y="285750"/>
          <a:ext cx="1457325" cy="1314450"/>
        </a:xfrm>
        <a:prstGeom prst="wedgeEllipseCallout">
          <a:avLst>
            <a:gd name="adj1" fmla="val -75676"/>
            <a:gd name="adj2" fmla="val 14745"/>
          </a:avLst>
        </a:prstGeom>
        <a:pattFill prst="pct90">
          <a:fgClr>
            <a:srgbClr val="00FF00"/>
          </a:fgClr>
          <a:bgClr>
            <a:srgbClr val="FFFFFF"/>
          </a:bgClr>
        </a:pattFill>
        <a:ln w="9525">
          <a:solidFill>
            <a:srgbClr val="000000"/>
          </a:solidFill>
          <a:miter lim="800000"/>
          <a:headEnd/>
          <a:tailEnd/>
        </a:ln>
      </xdr:spPr>
      <xdr:txBody>
        <a:bodyPr vertOverflow="clip" wrap="square" lIns="27432" tIns="36576" rIns="27432" bIns="36576" anchor="ctr" upright="1"/>
        <a:lstStyle/>
        <a:p>
          <a:pPr algn="ctr" rtl="0">
            <a:defRPr sz="1000"/>
          </a:pPr>
          <a:r>
            <a:rPr lang="el-GR" sz="1000" b="1" i="0" strike="noStrike">
              <a:solidFill>
                <a:srgbClr val="000000"/>
              </a:solidFill>
              <a:latin typeface="Comic Sans MS"/>
            </a:rPr>
            <a:t>Βάλε το </a:t>
          </a:r>
          <a:r>
            <a:rPr lang="en-GB" sz="1000" b="1" i="0" strike="noStrike">
              <a:solidFill>
                <a:srgbClr val="000000"/>
              </a:solidFill>
              <a:latin typeface="Comic Sans MS"/>
            </a:rPr>
            <a:t>mouse </a:t>
          </a:r>
          <a:r>
            <a:rPr lang="el-GR" sz="1000" b="1" i="0" strike="noStrike">
              <a:solidFill>
                <a:srgbClr val="000000"/>
              </a:solidFill>
              <a:latin typeface="Comic Sans MS"/>
            </a:rPr>
            <a:t>στο θέμα που θέλεις να μελετήσεις και κάνε κλικ.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7</xdr:row>
      <xdr:rowOff>66675</xdr:rowOff>
    </xdr:from>
    <xdr:to>
      <xdr:col>2</xdr:col>
      <xdr:colOff>361950</xdr:colOff>
      <xdr:row>8</xdr:row>
      <xdr:rowOff>209550</xdr:rowOff>
    </xdr:to>
    <xdr:sp macro="" textlink="">
      <xdr:nvSpPr>
        <xdr:cNvPr id="31745" name="Text Box 1"/>
        <xdr:cNvSpPr txBox="1">
          <a:spLocks noChangeArrowheads="1"/>
        </xdr:cNvSpPr>
      </xdr:nvSpPr>
      <xdr:spPr bwMode="auto">
        <a:xfrm>
          <a:off x="914400" y="25146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xdr:row>
      <xdr:rowOff>76200</xdr:rowOff>
    </xdr:from>
    <xdr:to>
      <xdr:col>4</xdr:col>
      <xdr:colOff>295275</xdr:colOff>
      <xdr:row>8</xdr:row>
      <xdr:rowOff>219075</xdr:rowOff>
    </xdr:to>
    <xdr:sp macro="" textlink="">
      <xdr:nvSpPr>
        <xdr:cNvPr id="31746" name="Text Box 2"/>
        <xdr:cNvSpPr txBox="1">
          <a:spLocks noChangeArrowheads="1"/>
        </xdr:cNvSpPr>
      </xdr:nvSpPr>
      <xdr:spPr bwMode="auto">
        <a:xfrm>
          <a:off x="1752600" y="2524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0</xdr:col>
      <xdr:colOff>219075</xdr:colOff>
      <xdr:row>0</xdr:row>
      <xdr:rowOff>104775</xdr:rowOff>
    </xdr:from>
    <xdr:to>
      <xdr:col>12</xdr:col>
      <xdr:colOff>104775</xdr:colOff>
      <xdr:row>0</xdr:row>
      <xdr:rowOff>571500</xdr:rowOff>
    </xdr:to>
    <xdr:sp macro="" textlink="">
      <xdr:nvSpPr>
        <xdr:cNvPr id="31748" name="WordArt 4" descr="90%"/>
        <xdr:cNvSpPr>
          <a:spLocks noChangeArrowheads="1" noChangeShapeType="1" noTextEdit="1"/>
        </xdr:cNvSpPr>
      </xdr:nvSpPr>
      <xdr:spPr bwMode="auto">
        <a:xfrm>
          <a:off x="219075" y="104775"/>
          <a:ext cx="4362450" cy="4667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pattFill prst="pct90">
                <a:fgClr>
                  <a:srgbClr val="FF0000"/>
                </a:fgClr>
                <a:bgClr>
                  <a:srgbClr val="FFFFFF"/>
                </a:bgClr>
              </a:pattFill>
              <a:effectLst>
                <a:outerShdw dist="45791" dir="2021404" algn="ctr" rotWithShape="0">
                  <a:srgbClr val="9999FF"/>
                </a:outerShdw>
              </a:effectLst>
              <a:latin typeface="Comic Sans MS"/>
            </a:rPr>
            <a:t>Μετατροπή κλάσματος σε δεκαδικό</a:t>
          </a:r>
          <a:endParaRPr lang="en-GB" sz="3600" b="1" kern="10" spc="0">
            <a:ln w="12700">
              <a:solidFill>
                <a:srgbClr val="3333CC"/>
              </a:solidFill>
              <a:round/>
              <a:headEnd/>
              <a:tailEnd/>
            </a:ln>
            <a:pattFill prst="pct90">
              <a:fgClr>
                <a:srgbClr val="FF0000"/>
              </a:fgClr>
              <a:bgClr>
                <a:srgbClr val="FFFFFF"/>
              </a:bgClr>
            </a:pattFill>
            <a:effectLst>
              <a:outerShdw dist="45791" dir="2021404" algn="ctr" rotWithShape="0">
                <a:srgbClr val="9999FF"/>
              </a:outerShdw>
            </a:effectLst>
            <a:latin typeface="Comic Sans MS"/>
          </a:endParaRPr>
        </a:p>
      </xdr:txBody>
    </xdr:sp>
    <xdr:clientData/>
  </xdr:twoCellAnchor>
  <xdr:twoCellAnchor>
    <xdr:from>
      <xdr:col>2</xdr:col>
      <xdr:colOff>104775</xdr:colOff>
      <xdr:row>11</xdr:row>
      <xdr:rowOff>66675</xdr:rowOff>
    </xdr:from>
    <xdr:to>
      <xdr:col>2</xdr:col>
      <xdr:colOff>361950</xdr:colOff>
      <xdr:row>12</xdr:row>
      <xdr:rowOff>209550</xdr:rowOff>
    </xdr:to>
    <xdr:sp macro="" textlink="">
      <xdr:nvSpPr>
        <xdr:cNvPr id="31754" name="Text Box 10"/>
        <xdr:cNvSpPr txBox="1">
          <a:spLocks noChangeArrowheads="1"/>
        </xdr:cNvSpPr>
      </xdr:nvSpPr>
      <xdr:spPr bwMode="auto">
        <a:xfrm>
          <a:off x="914400" y="35242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11</xdr:row>
      <xdr:rowOff>76200</xdr:rowOff>
    </xdr:from>
    <xdr:to>
      <xdr:col>4</xdr:col>
      <xdr:colOff>295275</xdr:colOff>
      <xdr:row>12</xdr:row>
      <xdr:rowOff>219075</xdr:rowOff>
    </xdr:to>
    <xdr:sp macro="" textlink="">
      <xdr:nvSpPr>
        <xdr:cNvPr id="31755" name="Text Box 11"/>
        <xdr:cNvSpPr txBox="1">
          <a:spLocks noChangeArrowheads="1"/>
        </xdr:cNvSpPr>
      </xdr:nvSpPr>
      <xdr:spPr bwMode="auto">
        <a:xfrm>
          <a:off x="1752600" y="35337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15</xdr:row>
      <xdr:rowOff>66675</xdr:rowOff>
    </xdr:from>
    <xdr:to>
      <xdr:col>2</xdr:col>
      <xdr:colOff>361950</xdr:colOff>
      <xdr:row>16</xdr:row>
      <xdr:rowOff>209550</xdr:rowOff>
    </xdr:to>
    <xdr:sp macro="" textlink="">
      <xdr:nvSpPr>
        <xdr:cNvPr id="31757" name="Text Box 13"/>
        <xdr:cNvSpPr txBox="1">
          <a:spLocks noChangeArrowheads="1"/>
        </xdr:cNvSpPr>
      </xdr:nvSpPr>
      <xdr:spPr bwMode="auto">
        <a:xfrm>
          <a:off x="914400" y="45339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15</xdr:row>
      <xdr:rowOff>76200</xdr:rowOff>
    </xdr:from>
    <xdr:to>
      <xdr:col>4</xdr:col>
      <xdr:colOff>295275</xdr:colOff>
      <xdr:row>16</xdr:row>
      <xdr:rowOff>219075</xdr:rowOff>
    </xdr:to>
    <xdr:sp macro="" textlink="">
      <xdr:nvSpPr>
        <xdr:cNvPr id="31758" name="Text Box 14"/>
        <xdr:cNvSpPr txBox="1">
          <a:spLocks noChangeArrowheads="1"/>
        </xdr:cNvSpPr>
      </xdr:nvSpPr>
      <xdr:spPr bwMode="auto">
        <a:xfrm>
          <a:off x="1752600" y="45434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36</xdr:row>
      <xdr:rowOff>66675</xdr:rowOff>
    </xdr:from>
    <xdr:to>
      <xdr:col>2</xdr:col>
      <xdr:colOff>361950</xdr:colOff>
      <xdr:row>37</xdr:row>
      <xdr:rowOff>209550</xdr:rowOff>
    </xdr:to>
    <xdr:sp macro="" textlink="">
      <xdr:nvSpPr>
        <xdr:cNvPr id="31767" name="Text Box 23"/>
        <xdr:cNvSpPr txBox="1">
          <a:spLocks noChangeArrowheads="1"/>
        </xdr:cNvSpPr>
      </xdr:nvSpPr>
      <xdr:spPr bwMode="auto">
        <a:xfrm>
          <a:off x="914400" y="98298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45</xdr:row>
      <xdr:rowOff>66675</xdr:rowOff>
    </xdr:from>
    <xdr:to>
      <xdr:col>2</xdr:col>
      <xdr:colOff>361950</xdr:colOff>
      <xdr:row>46</xdr:row>
      <xdr:rowOff>209550</xdr:rowOff>
    </xdr:to>
    <xdr:sp macro="" textlink="">
      <xdr:nvSpPr>
        <xdr:cNvPr id="31769" name="Text Box 25"/>
        <xdr:cNvSpPr txBox="1">
          <a:spLocks noChangeArrowheads="1"/>
        </xdr:cNvSpPr>
      </xdr:nvSpPr>
      <xdr:spPr bwMode="auto">
        <a:xfrm>
          <a:off x="914400" y="122491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54</xdr:row>
      <xdr:rowOff>66675</xdr:rowOff>
    </xdr:from>
    <xdr:to>
      <xdr:col>2</xdr:col>
      <xdr:colOff>361950</xdr:colOff>
      <xdr:row>55</xdr:row>
      <xdr:rowOff>209550</xdr:rowOff>
    </xdr:to>
    <xdr:sp macro="" textlink="">
      <xdr:nvSpPr>
        <xdr:cNvPr id="31806" name="Text Box 62"/>
        <xdr:cNvSpPr txBox="1">
          <a:spLocks noChangeArrowheads="1"/>
        </xdr:cNvSpPr>
      </xdr:nvSpPr>
      <xdr:spPr bwMode="auto">
        <a:xfrm>
          <a:off x="914400" y="155067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285750</xdr:colOff>
      <xdr:row>64</xdr:row>
      <xdr:rowOff>123825</xdr:rowOff>
    </xdr:from>
    <xdr:to>
      <xdr:col>11</xdr:col>
      <xdr:colOff>9525</xdr:colOff>
      <xdr:row>66</xdr:row>
      <xdr:rowOff>28575</xdr:rowOff>
    </xdr:to>
    <xdr:sp macro="" textlink="">
      <xdr:nvSpPr>
        <xdr:cNvPr id="31811" name="WordArt 67"/>
        <xdr:cNvSpPr>
          <a:spLocks noChangeArrowheads="1" noChangeShapeType="1" noTextEdit="1"/>
        </xdr:cNvSpPr>
      </xdr:nvSpPr>
      <xdr:spPr bwMode="auto">
        <a:xfrm>
          <a:off x="1990725" y="18192750"/>
          <a:ext cx="2238375" cy="7810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Ασκήσεις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104775</xdr:colOff>
      <xdr:row>70</xdr:row>
      <xdr:rowOff>66675</xdr:rowOff>
    </xdr:from>
    <xdr:to>
      <xdr:col>2</xdr:col>
      <xdr:colOff>361950</xdr:colOff>
      <xdr:row>71</xdr:row>
      <xdr:rowOff>209550</xdr:rowOff>
    </xdr:to>
    <xdr:sp macro="" textlink="">
      <xdr:nvSpPr>
        <xdr:cNvPr id="31812" name="Text Box 68"/>
        <xdr:cNvSpPr txBox="1">
          <a:spLocks noChangeArrowheads="1"/>
        </xdr:cNvSpPr>
      </xdr:nvSpPr>
      <xdr:spPr bwMode="auto">
        <a:xfrm>
          <a:off x="914400" y="203073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70</xdr:row>
      <xdr:rowOff>76200</xdr:rowOff>
    </xdr:from>
    <xdr:to>
      <xdr:col>4</xdr:col>
      <xdr:colOff>295275</xdr:colOff>
      <xdr:row>71</xdr:row>
      <xdr:rowOff>219075</xdr:rowOff>
    </xdr:to>
    <xdr:sp macro="" textlink="">
      <xdr:nvSpPr>
        <xdr:cNvPr id="31813" name="Text Box 69"/>
        <xdr:cNvSpPr txBox="1">
          <a:spLocks noChangeArrowheads="1"/>
        </xdr:cNvSpPr>
      </xdr:nvSpPr>
      <xdr:spPr bwMode="auto">
        <a:xfrm>
          <a:off x="1752600" y="20316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74</xdr:row>
      <xdr:rowOff>66675</xdr:rowOff>
    </xdr:from>
    <xdr:to>
      <xdr:col>2</xdr:col>
      <xdr:colOff>361950</xdr:colOff>
      <xdr:row>75</xdr:row>
      <xdr:rowOff>209550</xdr:rowOff>
    </xdr:to>
    <xdr:sp macro="" textlink="">
      <xdr:nvSpPr>
        <xdr:cNvPr id="31814" name="Text Box 70"/>
        <xdr:cNvSpPr txBox="1">
          <a:spLocks noChangeArrowheads="1"/>
        </xdr:cNvSpPr>
      </xdr:nvSpPr>
      <xdr:spPr bwMode="auto">
        <a:xfrm>
          <a:off x="914400" y="214503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74</xdr:row>
      <xdr:rowOff>76200</xdr:rowOff>
    </xdr:from>
    <xdr:to>
      <xdr:col>4</xdr:col>
      <xdr:colOff>295275</xdr:colOff>
      <xdr:row>75</xdr:row>
      <xdr:rowOff>219075</xdr:rowOff>
    </xdr:to>
    <xdr:sp macro="" textlink="">
      <xdr:nvSpPr>
        <xdr:cNvPr id="31815" name="Text Box 71"/>
        <xdr:cNvSpPr txBox="1">
          <a:spLocks noChangeArrowheads="1"/>
        </xdr:cNvSpPr>
      </xdr:nvSpPr>
      <xdr:spPr bwMode="auto">
        <a:xfrm>
          <a:off x="1752600" y="214598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78</xdr:row>
      <xdr:rowOff>66675</xdr:rowOff>
    </xdr:from>
    <xdr:to>
      <xdr:col>2</xdr:col>
      <xdr:colOff>361950</xdr:colOff>
      <xdr:row>79</xdr:row>
      <xdr:rowOff>209550</xdr:rowOff>
    </xdr:to>
    <xdr:sp macro="" textlink="">
      <xdr:nvSpPr>
        <xdr:cNvPr id="31816" name="Text Box 72"/>
        <xdr:cNvSpPr txBox="1">
          <a:spLocks noChangeArrowheads="1"/>
        </xdr:cNvSpPr>
      </xdr:nvSpPr>
      <xdr:spPr bwMode="auto">
        <a:xfrm>
          <a:off x="914400" y="224790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78</xdr:row>
      <xdr:rowOff>76200</xdr:rowOff>
    </xdr:from>
    <xdr:to>
      <xdr:col>4</xdr:col>
      <xdr:colOff>295275</xdr:colOff>
      <xdr:row>79</xdr:row>
      <xdr:rowOff>219075</xdr:rowOff>
    </xdr:to>
    <xdr:sp macro="" textlink="">
      <xdr:nvSpPr>
        <xdr:cNvPr id="31817" name="Text Box 73"/>
        <xdr:cNvSpPr txBox="1">
          <a:spLocks noChangeArrowheads="1"/>
        </xdr:cNvSpPr>
      </xdr:nvSpPr>
      <xdr:spPr bwMode="auto">
        <a:xfrm>
          <a:off x="1752600" y="22488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82</xdr:row>
      <xdr:rowOff>66675</xdr:rowOff>
    </xdr:from>
    <xdr:to>
      <xdr:col>2</xdr:col>
      <xdr:colOff>361950</xdr:colOff>
      <xdr:row>83</xdr:row>
      <xdr:rowOff>209550</xdr:rowOff>
    </xdr:to>
    <xdr:sp macro="" textlink="">
      <xdr:nvSpPr>
        <xdr:cNvPr id="31821" name="Text Box 77"/>
        <xdr:cNvSpPr txBox="1">
          <a:spLocks noChangeArrowheads="1"/>
        </xdr:cNvSpPr>
      </xdr:nvSpPr>
      <xdr:spPr bwMode="auto">
        <a:xfrm>
          <a:off x="914400" y="234886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82</xdr:row>
      <xdr:rowOff>76200</xdr:rowOff>
    </xdr:from>
    <xdr:to>
      <xdr:col>4</xdr:col>
      <xdr:colOff>295275</xdr:colOff>
      <xdr:row>83</xdr:row>
      <xdr:rowOff>219075</xdr:rowOff>
    </xdr:to>
    <xdr:sp macro="" textlink="">
      <xdr:nvSpPr>
        <xdr:cNvPr id="31822" name="Text Box 78"/>
        <xdr:cNvSpPr txBox="1">
          <a:spLocks noChangeArrowheads="1"/>
        </xdr:cNvSpPr>
      </xdr:nvSpPr>
      <xdr:spPr bwMode="auto">
        <a:xfrm>
          <a:off x="1752600" y="234981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86</xdr:row>
      <xdr:rowOff>66675</xdr:rowOff>
    </xdr:from>
    <xdr:to>
      <xdr:col>2</xdr:col>
      <xdr:colOff>361950</xdr:colOff>
      <xdr:row>87</xdr:row>
      <xdr:rowOff>209550</xdr:rowOff>
    </xdr:to>
    <xdr:sp macro="" textlink="">
      <xdr:nvSpPr>
        <xdr:cNvPr id="31823" name="Text Box 79"/>
        <xdr:cNvSpPr txBox="1">
          <a:spLocks noChangeArrowheads="1"/>
        </xdr:cNvSpPr>
      </xdr:nvSpPr>
      <xdr:spPr bwMode="auto">
        <a:xfrm>
          <a:off x="914400" y="244983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86</xdr:row>
      <xdr:rowOff>76200</xdr:rowOff>
    </xdr:from>
    <xdr:to>
      <xdr:col>4</xdr:col>
      <xdr:colOff>295275</xdr:colOff>
      <xdr:row>87</xdr:row>
      <xdr:rowOff>219075</xdr:rowOff>
    </xdr:to>
    <xdr:sp macro="" textlink="">
      <xdr:nvSpPr>
        <xdr:cNvPr id="31824" name="Text Box 80"/>
        <xdr:cNvSpPr txBox="1">
          <a:spLocks noChangeArrowheads="1"/>
        </xdr:cNvSpPr>
      </xdr:nvSpPr>
      <xdr:spPr bwMode="auto">
        <a:xfrm>
          <a:off x="1752600" y="24507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90</xdr:row>
      <xdr:rowOff>66675</xdr:rowOff>
    </xdr:from>
    <xdr:to>
      <xdr:col>2</xdr:col>
      <xdr:colOff>361950</xdr:colOff>
      <xdr:row>91</xdr:row>
      <xdr:rowOff>209550</xdr:rowOff>
    </xdr:to>
    <xdr:sp macro="" textlink="">
      <xdr:nvSpPr>
        <xdr:cNvPr id="31827" name="Text Box 83"/>
        <xdr:cNvSpPr txBox="1">
          <a:spLocks noChangeArrowheads="1"/>
        </xdr:cNvSpPr>
      </xdr:nvSpPr>
      <xdr:spPr bwMode="auto">
        <a:xfrm>
          <a:off x="914400" y="2555557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90</xdr:row>
      <xdr:rowOff>76200</xdr:rowOff>
    </xdr:from>
    <xdr:to>
      <xdr:col>4</xdr:col>
      <xdr:colOff>295275</xdr:colOff>
      <xdr:row>91</xdr:row>
      <xdr:rowOff>219075</xdr:rowOff>
    </xdr:to>
    <xdr:sp macro="" textlink="">
      <xdr:nvSpPr>
        <xdr:cNvPr id="31828" name="Text Box 84"/>
        <xdr:cNvSpPr txBox="1">
          <a:spLocks noChangeArrowheads="1"/>
        </xdr:cNvSpPr>
      </xdr:nvSpPr>
      <xdr:spPr bwMode="auto">
        <a:xfrm>
          <a:off x="1752600" y="2556510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94</xdr:row>
      <xdr:rowOff>66675</xdr:rowOff>
    </xdr:from>
    <xdr:to>
      <xdr:col>2</xdr:col>
      <xdr:colOff>361950</xdr:colOff>
      <xdr:row>95</xdr:row>
      <xdr:rowOff>209550</xdr:rowOff>
    </xdr:to>
    <xdr:sp macro="" textlink="">
      <xdr:nvSpPr>
        <xdr:cNvPr id="31829" name="Text Box 85"/>
        <xdr:cNvSpPr txBox="1">
          <a:spLocks noChangeArrowheads="1"/>
        </xdr:cNvSpPr>
      </xdr:nvSpPr>
      <xdr:spPr bwMode="auto">
        <a:xfrm>
          <a:off x="914400" y="266700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94</xdr:row>
      <xdr:rowOff>76200</xdr:rowOff>
    </xdr:from>
    <xdr:to>
      <xdr:col>4</xdr:col>
      <xdr:colOff>295275</xdr:colOff>
      <xdr:row>95</xdr:row>
      <xdr:rowOff>219075</xdr:rowOff>
    </xdr:to>
    <xdr:sp macro="" textlink="">
      <xdr:nvSpPr>
        <xdr:cNvPr id="31830" name="Text Box 86"/>
        <xdr:cNvSpPr txBox="1">
          <a:spLocks noChangeArrowheads="1"/>
        </xdr:cNvSpPr>
      </xdr:nvSpPr>
      <xdr:spPr bwMode="auto">
        <a:xfrm>
          <a:off x="1752600" y="2667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98</xdr:row>
      <xdr:rowOff>66675</xdr:rowOff>
    </xdr:from>
    <xdr:to>
      <xdr:col>2</xdr:col>
      <xdr:colOff>361950</xdr:colOff>
      <xdr:row>99</xdr:row>
      <xdr:rowOff>209550</xdr:rowOff>
    </xdr:to>
    <xdr:sp macro="" textlink="">
      <xdr:nvSpPr>
        <xdr:cNvPr id="31831" name="Text Box 87"/>
        <xdr:cNvSpPr txBox="1">
          <a:spLocks noChangeArrowheads="1"/>
        </xdr:cNvSpPr>
      </xdr:nvSpPr>
      <xdr:spPr bwMode="auto">
        <a:xfrm>
          <a:off x="914400" y="276796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1832" name="Text Box 88"/>
        <xdr:cNvSpPr txBox="1">
          <a:spLocks noChangeArrowheads="1"/>
        </xdr:cNvSpPr>
      </xdr:nvSpPr>
      <xdr:spPr bwMode="auto">
        <a:xfrm>
          <a:off x="1752600" y="276891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102</xdr:row>
      <xdr:rowOff>66675</xdr:rowOff>
    </xdr:from>
    <xdr:to>
      <xdr:col>2</xdr:col>
      <xdr:colOff>361950</xdr:colOff>
      <xdr:row>103</xdr:row>
      <xdr:rowOff>209550</xdr:rowOff>
    </xdr:to>
    <xdr:sp macro="" textlink="">
      <xdr:nvSpPr>
        <xdr:cNvPr id="31833" name="Text Box 89"/>
        <xdr:cNvSpPr txBox="1">
          <a:spLocks noChangeArrowheads="1"/>
        </xdr:cNvSpPr>
      </xdr:nvSpPr>
      <xdr:spPr bwMode="auto">
        <a:xfrm>
          <a:off x="914400" y="288607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1834" name="Text Box 90"/>
        <xdr:cNvSpPr txBox="1">
          <a:spLocks noChangeArrowheads="1"/>
        </xdr:cNvSpPr>
      </xdr:nvSpPr>
      <xdr:spPr bwMode="auto">
        <a:xfrm>
          <a:off x="1752600" y="2887027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106</xdr:row>
      <xdr:rowOff>66675</xdr:rowOff>
    </xdr:from>
    <xdr:to>
      <xdr:col>2</xdr:col>
      <xdr:colOff>361950</xdr:colOff>
      <xdr:row>107</xdr:row>
      <xdr:rowOff>209550</xdr:rowOff>
    </xdr:to>
    <xdr:sp macro="" textlink="">
      <xdr:nvSpPr>
        <xdr:cNvPr id="31835" name="Text Box 91"/>
        <xdr:cNvSpPr txBox="1">
          <a:spLocks noChangeArrowheads="1"/>
        </xdr:cNvSpPr>
      </xdr:nvSpPr>
      <xdr:spPr bwMode="auto">
        <a:xfrm>
          <a:off x="914400" y="29879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1836" name="Text Box 92"/>
        <xdr:cNvSpPr txBox="1">
          <a:spLocks noChangeArrowheads="1"/>
        </xdr:cNvSpPr>
      </xdr:nvSpPr>
      <xdr:spPr bwMode="auto">
        <a:xfrm>
          <a:off x="1752600" y="29889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26</xdr:row>
      <xdr:rowOff>66675</xdr:rowOff>
    </xdr:from>
    <xdr:to>
      <xdr:col>2</xdr:col>
      <xdr:colOff>361950</xdr:colOff>
      <xdr:row>27</xdr:row>
      <xdr:rowOff>209550</xdr:rowOff>
    </xdr:to>
    <xdr:sp macro="" textlink="">
      <xdr:nvSpPr>
        <xdr:cNvPr id="31842" name="Text Box 98"/>
        <xdr:cNvSpPr txBox="1">
          <a:spLocks noChangeArrowheads="1"/>
        </xdr:cNvSpPr>
      </xdr:nvSpPr>
      <xdr:spPr bwMode="auto">
        <a:xfrm>
          <a:off x="914400" y="70675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26</xdr:row>
      <xdr:rowOff>66675</xdr:rowOff>
    </xdr:from>
    <xdr:to>
      <xdr:col>5</xdr:col>
      <xdr:colOff>19050</xdr:colOff>
      <xdr:row>27</xdr:row>
      <xdr:rowOff>209550</xdr:rowOff>
    </xdr:to>
    <xdr:sp macro="" textlink="">
      <xdr:nvSpPr>
        <xdr:cNvPr id="31843" name="Text Box 99"/>
        <xdr:cNvSpPr txBox="1">
          <a:spLocks noChangeArrowheads="1"/>
        </xdr:cNvSpPr>
      </xdr:nvSpPr>
      <xdr:spPr bwMode="auto">
        <a:xfrm>
          <a:off x="1809750" y="70675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26</xdr:row>
      <xdr:rowOff>76200</xdr:rowOff>
    </xdr:from>
    <xdr:to>
      <xdr:col>6</xdr:col>
      <xdr:colOff>295275</xdr:colOff>
      <xdr:row>27</xdr:row>
      <xdr:rowOff>219075</xdr:rowOff>
    </xdr:to>
    <xdr:sp macro="" textlink="">
      <xdr:nvSpPr>
        <xdr:cNvPr id="31844" name="Text Box 100"/>
        <xdr:cNvSpPr txBox="1">
          <a:spLocks noChangeArrowheads="1"/>
        </xdr:cNvSpPr>
      </xdr:nvSpPr>
      <xdr:spPr bwMode="auto">
        <a:xfrm>
          <a:off x="2752725" y="7077075"/>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11</xdr:col>
      <xdr:colOff>19050</xdr:colOff>
      <xdr:row>69</xdr:row>
      <xdr:rowOff>142875</xdr:rowOff>
    </xdr:from>
    <xdr:to>
      <xdr:col>18</xdr:col>
      <xdr:colOff>85725</xdr:colOff>
      <xdr:row>70</xdr:row>
      <xdr:rowOff>57150</xdr:rowOff>
    </xdr:to>
    <xdr:sp macro="" textlink="">
      <xdr:nvSpPr>
        <xdr:cNvPr id="31853" name="WordArt 109"/>
        <xdr:cNvSpPr>
          <a:spLocks noChangeArrowheads="1" noChangeShapeType="1" noTextEdit="1"/>
        </xdr:cNvSpPr>
      </xdr:nvSpPr>
      <xdr:spPr bwMode="auto">
        <a:xfrm>
          <a:off x="4238625" y="19831050"/>
          <a:ext cx="1638300" cy="4667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104775</xdr:colOff>
      <xdr:row>117</xdr:row>
      <xdr:rowOff>66675</xdr:rowOff>
    </xdr:from>
    <xdr:to>
      <xdr:col>2</xdr:col>
      <xdr:colOff>361950</xdr:colOff>
      <xdr:row>118</xdr:row>
      <xdr:rowOff>209550</xdr:rowOff>
    </xdr:to>
    <xdr:sp macro="" textlink="">
      <xdr:nvSpPr>
        <xdr:cNvPr id="31856" name="Text Box 112"/>
        <xdr:cNvSpPr txBox="1">
          <a:spLocks noChangeArrowheads="1"/>
        </xdr:cNvSpPr>
      </xdr:nvSpPr>
      <xdr:spPr bwMode="auto">
        <a:xfrm>
          <a:off x="914400" y="335565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125</xdr:row>
      <xdr:rowOff>66675</xdr:rowOff>
    </xdr:from>
    <xdr:to>
      <xdr:col>2</xdr:col>
      <xdr:colOff>361950</xdr:colOff>
      <xdr:row>126</xdr:row>
      <xdr:rowOff>209550</xdr:rowOff>
    </xdr:to>
    <xdr:sp macro="" textlink="">
      <xdr:nvSpPr>
        <xdr:cNvPr id="31870" name="Text Box 126"/>
        <xdr:cNvSpPr txBox="1">
          <a:spLocks noChangeArrowheads="1"/>
        </xdr:cNvSpPr>
      </xdr:nvSpPr>
      <xdr:spPr bwMode="auto">
        <a:xfrm>
          <a:off x="914400" y="360235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104775</xdr:colOff>
      <xdr:row>110</xdr:row>
      <xdr:rowOff>114300</xdr:rowOff>
    </xdr:from>
    <xdr:to>
      <xdr:col>10</xdr:col>
      <xdr:colOff>228600</xdr:colOff>
      <xdr:row>110</xdr:row>
      <xdr:rowOff>714375</xdr:rowOff>
    </xdr:to>
    <xdr:sp macro="" textlink="">
      <xdr:nvSpPr>
        <xdr:cNvPr id="31880" name="WordArt 136"/>
        <xdr:cNvSpPr>
          <a:spLocks noChangeArrowheads="1" noChangeShapeType="1" noTextEdit="1"/>
        </xdr:cNvSpPr>
      </xdr:nvSpPr>
      <xdr:spPr bwMode="auto">
        <a:xfrm>
          <a:off x="2143125" y="30937200"/>
          <a:ext cx="2047875" cy="6000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Άσκηση 2</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10</xdr:col>
      <xdr:colOff>190500</xdr:colOff>
      <xdr:row>105</xdr:row>
      <xdr:rowOff>228600</xdr:rowOff>
    </xdr:from>
    <xdr:to>
      <xdr:col>20</xdr:col>
      <xdr:colOff>190500</xdr:colOff>
      <xdr:row>107</xdr:row>
      <xdr:rowOff>190500</xdr:rowOff>
    </xdr:to>
    <xdr:sp macro="" textlink="">
      <xdr:nvSpPr>
        <xdr:cNvPr id="31881" name="WordArt 137">
          <a:hlinkClick xmlns:r="http://schemas.openxmlformats.org/officeDocument/2006/relationships" r:id="rId1"/>
        </xdr:cNvPr>
        <xdr:cNvSpPr>
          <a:spLocks noChangeArrowheads="1" noChangeShapeType="1" noTextEdit="1"/>
        </xdr:cNvSpPr>
      </xdr:nvSpPr>
      <xdr:spPr bwMode="auto">
        <a:xfrm>
          <a:off x="4152900" y="29794200"/>
          <a:ext cx="2771775" cy="4667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Κι άλλη εξάσκηση;</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13</xdr:col>
      <xdr:colOff>142875</xdr:colOff>
      <xdr:row>99</xdr:row>
      <xdr:rowOff>161925</xdr:rowOff>
    </xdr:from>
    <xdr:to>
      <xdr:col>18</xdr:col>
      <xdr:colOff>161925</xdr:colOff>
      <xdr:row>101</xdr:row>
      <xdr:rowOff>219075</xdr:rowOff>
    </xdr:to>
    <xdr:sp macro="" textlink="">
      <xdr:nvSpPr>
        <xdr:cNvPr id="31882" name="WordArt 138"/>
        <xdr:cNvSpPr>
          <a:spLocks noChangeArrowheads="1" noChangeShapeType="1" noTextEdit="1"/>
        </xdr:cNvSpPr>
      </xdr:nvSpPr>
      <xdr:spPr bwMode="auto">
        <a:xfrm>
          <a:off x="4752975" y="28032075"/>
          <a:ext cx="1200150" cy="71437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xdr:col>
      <xdr:colOff>104775</xdr:colOff>
      <xdr:row>133</xdr:row>
      <xdr:rowOff>66675</xdr:rowOff>
    </xdr:from>
    <xdr:to>
      <xdr:col>2</xdr:col>
      <xdr:colOff>361950</xdr:colOff>
      <xdr:row>134</xdr:row>
      <xdr:rowOff>209550</xdr:rowOff>
    </xdr:to>
    <xdr:sp macro="" textlink="">
      <xdr:nvSpPr>
        <xdr:cNvPr id="31883" name="Text Box 139"/>
        <xdr:cNvSpPr txBox="1">
          <a:spLocks noChangeArrowheads="1"/>
        </xdr:cNvSpPr>
      </xdr:nvSpPr>
      <xdr:spPr bwMode="auto">
        <a:xfrm>
          <a:off x="914400" y="386048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141</xdr:row>
      <xdr:rowOff>66675</xdr:rowOff>
    </xdr:from>
    <xdr:to>
      <xdr:col>2</xdr:col>
      <xdr:colOff>361950</xdr:colOff>
      <xdr:row>142</xdr:row>
      <xdr:rowOff>209550</xdr:rowOff>
    </xdr:to>
    <xdr:sp macro="" textlink="">
      <xdr:nvSpPr>
        <xdr:cNvPr id="31884" name="Text Box 140"/>
        <xdr:cNvSpPr txBox="1">
          <a:spLocks noChangeArrowheads="1"/>
        </xdr:cNvSpPr>
      </xdr:nvSpPr>
      <xdr:spPr bwMode="auto">
        <a:xfrm>
          <a:off x="914400" y="411575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149</xdr:row>
      <xdr:rowOff>66675</xdr:rowOff>
    </xdr:from>
    <xdr:to>
      <xdr:col>2</xdr:col>
      <xdr:colOff>361950</xdr:colOff>
      <xdr:row>150</xdr:row>
      <xdr:rowOff>209550</xdr:rowOff>
    </xdr:to>
    <xdr:sp macro="" textlink="">
      <xdr:nvSpPr>
        <xdr:cNvPr id="31903" name="Text Box 159"/>
        <xdr:cNvSpPr txBox="1">
          <a:spLocks noChangeArrowheads="1"/>
        </xdr:cNvSpPr>
      </xdr:nvSpPr>
      <xdr:spPr bwMode="auto">
        <a:xfrm>
          <a:off x="914400" y="437388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157</xdr:row>
      <xdr:rowOff>66675</xdr:rowOff>
    </xdr:from>
    <xdr:to>
      <xdr:col>2</xdr:col>
      <xdr:colOff>361950</xdr:colOff>
      <xdr:row>158</xdr:row>
      <xdr:rowOff>209550</xdr:rowOff>
    </xdr:to>
    <xdr:sp macro="" textlink="">
      <xdr:nvSpPr>
        <xdr:cNvPr id="31904" name="Text Box 160"/>
        <xdr:cNvSpPr txBox="1">
          <a:spLocks noChangeArrowheads="1"/>
        </xdr:cNvSpPr>
      </xdr:nvSpPr>
      <xdr:spPr bwMode="auto">
        <a:xfrm>
          <a:off x="914400" y="463010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165</xdr:row>
      <xdr:rowOff>66675</xdr:rowOff>
    </xdr:from>
    <xdr:to>
      <xdr:col>2</xdr:col>
      <xdr:colOff>361950</xdr:colOff>
      <xdr:row>166</xdr:row>
      <xdr:rowOff>209550</xdr:rowOff>
    </xdr:to>
    <xdr:sp macro="" textlink="">
      <xdr:nvSpPr>
        <xdr:cNvPr id="31905" name="Text Box 161"/>
        <xdr:cNvSpPr txBox="1">
          <a:spLocks noChangeArrowheads="1"/>
        </xdr:cNvSpPr>
      </xdr:nvSpPr>
      <xdr:spPr bwMode="auto">
        <a:xfrm>
          <a:off x="914400" y="488823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173</xdr:row>
      <xdr:rowOff>66675</xdr:rowOff>
    </xdr:from>
    <xdr:to>
      <xdr:col>2</xdr:col>
      <xdr:colOff>361950</xdr:colOff>
      <xdr:row>174</xdr:row>
      <xdr:rowOff>209550</xdr:rowOff>
    </xdr:to>
    <xdr:sp macro="" textlink="">
      <xdr:nvSpPr>
        <xdr:cNvPr id="31906" name="Text Box 162"/>
        <xdr:cNvSpPr txBox="1">
          <a:spLocks noChangeArrowheads="1"/>
        </xdr:cNvSpPr>
      </xdr:nvSpPr>
      <xdr:spPr bwMode="auto">
        <a:xfrm>
          <a:off x="914400" y="514350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181</xdr:row>
      <xdr:rowOff>66675</xdr:rowOff>
    </xdr:from>
    <xdr:to>
      <xdr:col>2</xdr:col>
      <xdr:colOff>361950</xdr:colOff>
      <xdr:row>182</xdr:row>
      <xdr:rowOff>209550</xdr:rowOff>
    </xdr:to>
    <xdr:sp macro="" textlink="">
      <xdr:nvSpPr>
        <xdr:cNvPr id="31943" name="Text Box 199"/>
        <xdr:cNvSpPr txBox="1">
          <a:spLocks noChangeArrowheads="1"/>
        </xdr:cNvSpPr>
      </xdr:nvSpPr>
      <xdr:spPr bwMode="auto">
        <a:xfrm>
          <a:off x="914400" y="540162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189</xdr:row>
      <xdr:rowOff>66675</xdr:rowOff>
    </xdr:from>
    <xdr:to>
      <xdr:col>2</xdr:col>
      <xdr:colOff>361950</xdr:colOff>
      <xdr:row>190</xdr:row>
      <xdr:rowOff>209550</xdr:rowOff>
    </xdr:to>
    <xdr:sp macro="" textlink="">
      <xdr:nvSpPr>
        <xdr:cNvPr id="31944" name="Text Box 200"/>
        <xdr:cNvSpPr txBox="1">
          <a:spLocks noChangeArrowheads="1"/>
        </xdr:cNvSpPr>
      </xdr:nvSpPr>
      <xdr:spPr bwMode="auto">
        <a:xfrm>
          <a:off x="914400" y="565880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11</xdr:col>
      <xdr:colOff>133350</xdr:colOff>
      <xdr:row>86</xdr:row>
      <xdr:rowOff>114300</xdr:rowOff>
    </xdr:from>
    <xdr:to>
      <xdr:col>19</xdr:col>
      <xdr:colOff>47625</xdr:colOff>
      <xdr:row>87</xdr:row>
      <xdr:rowOff>171450</xdr:rowOff>
    </xdr:to>
    <xdr:sp macro="" textlink="">
      <xdr:nvSpPr>
        <xdr:cNvPr id="31963" name="WordArt 219"/>
        <xdr:cNvSpPr>
          <a:spLocks noChangeArrowheads="1" noChangeShapeType="1" noTextEdit="1"/>
        </xdr:cNvSpPr>
      </xdr:nvSpPr>
      <xdr:spPr bwMode="auto">
        <a:xfrm>
          <a:off x="4352925" y="24545925"/>
          <a:ext cx="1743075" cy="3143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0</xdr:col>
      <xdr:colOff>142875</xdr:colOff>
      <xdr:row>196</xdr:row>
      <xdr:rowOff>142875</xdr:rowOff>
    </xdr:from>
    <xdr:to>
      <xdr:col>4</xdr:col>
      <xdr:colOff>76200</xdr:colOff>
      <xdr:row>196</xdr:row>
      <xdr:rowOff>495300</xdr:rowOff>
    </xdr:to>
    <xdr:sp macro="" textlink="">
      <xdr:nvSpPr>
        <xdr:cNvPr id="31969" name="WordArt 225"/>
        <xdr:cNvSpPr>
          <a:spLocks noChangeArrowheads="1" noChangeShapeType="1" noTextEdit="1"/>
        </xdr:cNvSpPr>
      </xdr:nvSpPr>
      <xdr:spPr bwMode="auto">
        <a:xfrm>
          <a:off x="142875" y="58578750"/>
          <a:ext cx="1638300" cy="3524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5</xdr:col>
      <xdr:colOff>104775</xdr:colOff>
      <xdr:row>200</xdr:row>
      <xdr:rowOff>114300</xdr:rowOff>
    </xdr:from>
    <xdr:to>
      <xdr:col>10</xdr:col>
      <xdr:colOff>228600</xdr:colOff>
      <xdr:row>200</xdr:row>
      <xdr:rowOff>714375</xdr:rowOff>
    </xdr:to>
    <xdr:sp macro="" textlink="">
      <xdr:nvSpPr>
        <xdr:cNvPr id="31970" name="WordArt 226"/>
        <xdr:cNvSpPr>
          <a:spLocks noChangeArrowheads="1" noChangeShapeType="1" noTextEdit="1"/>
        </xdr:cNvSpPr>
      </xdr:nvSpPr>
      <xdr:spPr bwMode="auto">
        <a:xfrm>
          <a:off x="2143125" y="59750325"/>
          <a:ext cx="2047875" cy="6000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Άσκηση 3</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104775</xdr:colOff>
      <xdr:row>207</xdr:row>
      <xdr:rowOff>66675</xdr:rowOff>
    </xdr:from>
    <xdr:to>
      <xdr:col>2</xdr:col>
      <xdr:colOff>361950</xdr:colOff>
      <xdr:row>208</xdr:row>
      <xdr:rowOff>209550</xdr:rowOff>
    </xdr:to>
    <xdr:sp macro="" textlink="">
      <xdr:nvSpPr>
        <xdr:cNvPr id="31971" name="Text Box 227"/>
        <xdr:cNvSpPr txBox="1">
          <a:spLocks noChangeArrowheads="1"/>
        </xdr:cNvSpPr>
      </xdr:nvSpPr>
      <xdr:spPr bwMode="auto">
        <a:xfrm>
          <a:off x="914400" y="620363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207</xdr:row>
      <xdr:rowOff>66675</xdr:rowOff>
    </xdr:from>
    <xdr:to>
      <xdr:col>5</xdr:col>
      <xdr:colOff>19050</xdr:colOff>
      <xdr:row>208</xdr:row>
      <xdr:rowOff>209550</xdr:rowOff>
    </xdr:to>
    <xdr:sp macro="" textlink="">
      <xdr:nvSpPr>
        <xdr:cNvPr id="31972" name="Text Box 228"/>
        <xdr:cNvSpPr txBox="1">
          <a:spLocks noChangeArrowheads="1"/>
        </xdr:cNvSpPr>
      </xdr:nvSpPr>
      <xdr:spPr bwMode="auto">
        <a:xfrm>
          <a:off x="1809750" y="620363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207</xdr:row>
      <xdr:rowOff>76200</xdr:rowOff>
    </xdr:from>
    <xdr:to>
      <xdr:col>6</xdr:col>
      <xdr:colOff>295275</xdr:colOff>
      <xdr:row>208</xdr:row>
      <xdr:rowOff>219075</xdr:rowOff>
    </xdr:to>
    <xdr:sp macro="" textlink="">
      <xdr:nvSpPr>
        <xdr:cNvPr id="31973" name="Text Box 229"/>
        <xdr:cNvSpPr txBox="1">
          <a:spLocks noChangeArrowheads="1"/>
        </xdr:cNvSpPr>
      </xdr:nvSpPr>
      <xdr:spPr bwMode="auto">
        <a:xfrm>
          <a:off x="2752725" y="620458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212</xdr:row>
      <xdr:rowOff>66675</xdr:rowOff>
    </xdr:from>
    <xdr:to>
      <xdr:col>2</xdr:col>
      <xdr:colOff>361950</xdr:colOff>
      <xdr:row>213</xdr:row>
      <xdr:rowOff>209550</xdr:rowOff>
    </xdr:to>
    <xdr:sp macro="" textlink="">
      <xdr:nvSpPr>
        <xdr:cNvPr id="31976" name="Text Box 232"/>
        <xdr:cNvSpPr txBox="1">
          <a:spLocks noChangeArrowheads="1"/>
        </xdr:cNvSpPr>
      </xdr:nvSpPr>
      <xdr:spPr bwMode="auto">
        <a:xfrm>
          <a:off x="914400" y="631793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212</xdr:row>
      <xdr:rowOff>66675</xdr:rowOff>
    </xdr:from>
    <xdr:to>
      <xdr:col>5</xdr:col>
      <xdr:colOff>19050</xdr:colOff>
      <xdr:row>213</xdr:row>
      <xdr:rowOff>209550</xdr:rowOff>
    </xdr:to>
    <xdr:sp macro="" textlink="">
      <xdr:nvSpPr>
        <xdr:cNvPr id="31977" name="Text Box 233"/>
        <xdr:cNvSpPr txBox="1">
          <a:spLocks noChangeArrowheads="1"/>
        </xdr:cNvSpPr>
      </xdr:nvSpPr>
      <xdr:spPr bwMode="auto">
        <a:xfrm>
          <a:off x="1809750" y="631793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212</xdr:row>
      <xdr:rowOff>76200</xdr:rowOff>
    </xdr:from>
    <xdr:to>
      <xdr:col>6</xdr:col>
      <xdr:colOff>295275</xdr:colOff>
      <xdr:row>213</xdr:row>
      <xdr:rowOff>219075</xdr:rowOff>
    </xdr:to>
    <xdr:sp macro="" textlink="">
      <xdr:nvSpPr>
        <xdr:cNvPr id="31978" name="Text Box 234"/>
        <xdr:cNvSpPr txBox="1">
          <a:spLocks noChangeArrowheads="1"/>
        </xdr:cNvSpPr>
      </xdr:nvSpPr>
      <xdr:spPr bwMode="auto">
        <a:xfrm>
          <a:off x="2752725" y="631888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216</xdr:row>
      <xdr:rowOff>66675</xdr:rowOff>
    </xdr:from>
    <xdr:to>
      <xdr:col>2</xdr:col>
      <xdr:colOff>361950</xdr:colOff>
      <xdr:row>217</xdr:row>
      <xdr:rowOff>209550</xdr:rowOff>
    </xdr:to>
    <xdr:sp macro="" textlink="">
      <xdr:nvSpPr>
        <xdr:cNvPr id="31981" name="Text Box 237"/>
        <xdr:cNvSpPr txBox="1">
          <a:spLocks noChangeArrowheads="1"/>
        </xdr:cNvSpPr>
      </xdr:nvSpPr>
      <xdr:spPr bwMode="auto">
        <a:xfrm>
          <a:off x="914400" y="64131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216</xdr:row>
      <xdr:rowOff>66675</xdr:rowOff>
    </xdr:from>
    <xdr:to>
      <xdr:col>5</xdr:col>
      <xdr:colOff>19050</xdr:colOff>
      <xdr:row>217</xdr:row>
      <xdr:rowOff>209550</xdr:rowOff>
    </xdr:to>
    <xdr:sp macro="" textlink="">
      <xdr:nvSpPr>
        <xdr:cNvPr id="31982" name="Text Box 238"/>
        <xdr:cNvSpPr txBox="1">
          <a:spLocks noChangeArrowheads="1"/>
        </xdr:cNvSpPr>
      </xdr:nvSpPr>
      <xdr:spPr bwMode="auto">
        <a:xfrm>
          <a:off x="1809750" y="64131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216</xdr:row>
      <xdr:rowOff>76200</xdr:rowOff>
    </xdr:from>
    <xdr:to>
      <xdr:col>6</xdr:col>
      <xdr:colOff>295275</xdr:colOff>
      <xdr:row>217</xdr:row>
      <xdr:rowOff>219075</xdr:rowOff>
    </xdr:to>
    <xdr:sp macro="" textlink="">
      <xdr:nvSpPr>
        <xdr:cNvPr id="31983" name="Text Box 239"/>
        <xdr:cNvSpPr txBox="1">
          <a:spLocks noChangeArrowheads="1"/>
        </xdr:cNvSpPr>
      </xdr:nvSpPr>
      <xdr:spPr bwMode="auto">
        <a:xfrm>
          <a:off x="2752725" y="641413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220</xdr:row>
      <xdr:rowOff>66675</xdr:rowOff>
    </xdr:from>
    <xdr:to>
      <xdr:col>2</xdr:col>
      <xdr:colOff>361950</xdr:colOff>
      <xdr:row>221</xdr:row>
      <xdr:rowOff>209550</xdr:rowOff>
    </xdr:to>
    <xdr:sp macro="" textlink="">
      <xdr:nvSpPr>
        <xdr:cNvPr id="31986" name="Text Box 242"/>
        <xdr:cNvSpPr txBox="1">
          <a:spLocks noChangeArrowheads="1"/>
        </xdr:cNvSpPr>
      </xdr:nvSpPr>
      <xdr:spPr bwMode="auto">
        <a:xfrm>
          <a:off x="914400" y="650843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220</xdr:row>
      <xdr:rowOff>66675</xdr:rowOff>
    </xdr:from>
    <xdr:to>
      <xdr:col>5</xdr:col>
      <xdr:colOff>19050</xdr:colOff>
      <xdr:row>221</xdr:row>
      <xdr:rowOff>209550</xdr:rowOff>
    </xdr:to>
    <xdr:sp macro="" textlink="">
      <xdr:nvSpPr>
        <xdr:cNvPr id="31987" name="Text Box 243"/>
        <xdr:cNvSpPr txBox="1">
          <a:spLocks noChangeArrowheads="1"/>
        </xdr:cNvSpPr>
      </xdr:nvSpPr>
      <xdr:spPr bwMode="auto">
        <a:xfrm>
          <a:off x="1809750" y="650843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220</xdr:row>
      <xdr:rowOff>76200</xdr:rowOff>
    </xdr:from>
    <xdr:to>
      <xdr:col>6</xdr:col>
      <xdr:colOff>295275</xdr:colOff>
      <xdr:row>221</xdr:row>
      <xdr:rowOff>219075</xdr:rowOff>
    </xdr:to>
    <xdr:sp macro="" textlink="">
      <xdr:nvSpPr>
        <xdr:cNvPr id="31988" name="Text Box 244"/>
        <xdr:cNvSpPr txBox="1">
          <a:spLocks noChangeArrowheads="1"/>
        </xdr:cNvSpPr>
      </xdr:nvSpPr>
      <xdr:spPr bwMode="auto">
        <a:xfrm>
          <a:off x="2752725" y="650938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224</xdr:row>
      <xdr:rowOff>66675</xdr:rowOff>
    </xdr:from>
    <xdr:to>
      <xdr:col>2</xdr:col>
      <xdr:colOff>361950</xdr:colOff>
      <xdr:row>225</xdr:row>
      <xdr:rowOff>209550</xdr:rowOff>
    </xdr:to>
    <xdr:sp macro="" textlink="">
      <xdr:nvSpPr>
        <xdr:cNvPr id="31989" name="Text Box 245"/>
        <xdr:cNvSpPr txBox="1">
          <a:spLocks noChangeArrowheads="1"/>
        </xdr:cNvSpPr>
      </xdr:nvSpPr>
      <xdr:spPr bwMode="auto">
        <a:xfrm>
          <a:off x="914400" y="66036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224</xdr:row>
      <xdr:rowOff>66675</xdr:rowOff>
    </xdr:from>
    <xdr:to>
      <xdr:col>5</xdr:col>
      <xdr:colOff>19050</xdr:colOff>
      <xdr:row>225</xdr:row>
      <xdr:rowOff>209550</xdr:rowOff>
    </xdr:to>
    <xdr:sp macro="" textlink="">
      <xdr:nvSpPr>
        <xdr:cNvPr id="31990" name="Text Box 246"/>
        <xdr:cNvSpPr txBox="1">
          <a:spLocks noChangeArrowheads="1"/>
        </xdr:cNvSpPr>
      </xdr:nvSpPr>
      <xdr:spPr bwMode="auto">
        <a:xfrm>
          <a:off x="1809750" y="66036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224</xdr:row>
      <xdr:rowOff>76200</xdr:rowOff>
    </xdr:from>
    <xdr:to>
      <xdr:col>6</xdr:col>
      <xdr:colOff>295275</xdr:colOff>
      <xdr:row>225</xdr:row>
      <xdr:rowOff>219075</xdr:rowOff>
    </xdr:to>
    <xdr:sp macro="" textlink="">
      <xdr:nvSpPr>
        <xdr:cNvPr id="31991" name="Text Box 247"/>
        <xdr:cNvSpPr txBox="1">
          <a:spLocks noChangeArrowheads="1"/>
        </xdr:cNvSpPr>
      </xdr:nvSpPr>
      <xdr:spPr bwMode="auto">
        <a:xfrm>
          <a:off x="2752725" y="660463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228</xdr:row>
      <xdr:rowOff>66675</xdr:rowOff>
    </xdr:from>
    <xdr:to>
      <xdr:col>2</xdr:col>
      <xdr:colOff>361950</xdr:colOff>
      <xdr:row>229</xdr:row>
      <xdr:rowOff>209550</xdr:rowOff>
    </xdr:to>
    <xdr:sp macro="" textlink="">
      <xdr:nvSpPr>
        <xdr:cNvPr id="31997" name="Text Box 253"/>
        <xdr:cNvSpPr txBox="1">
          <a:spLocks noChangeArrowheads="1"/>
        </xdr:cNvSpPr>
      </xdr:nvSpPr>
      <xdr:spPr bwMode="auto">
        <a:xfrm>
          <a:off x="914400" y="670464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228</xdr:row>
      <xdr:rowOff>66675</xdr:rowOff>
    </xdr:from>
    <xdr:to>
      <xdr:col>5</xdr:col>
      <xdr:colOff>19050</xdr:colOff>
      <xdr:row>229</xdr:row>
      <xdr:rowOff>209550</xdr:rowOff>
    </xdr:to>
    <xdr:sp macro="" textlink="">
      <xdr:nvSpPr>
        <xdr:cNvPr id="31998" name="Text Box 254"/>
        <xdr:cNvSpPr txBox="1">
          <a:spLocks noChangeArrowheads="1"/>
        </xdr:cNvSpPr>
      </xdr:nvSpPr>
      <xdr:spPr bwMode="auto">
        <a:xfrm>
          <a:off x="1809750" y="670464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228</xdr:row>
      <xdr:rowOff>76200</xdr:rowOff>
    </xdr:from>
    <xdr:to>
      <xdr:col>6</xdr:col>
      <xdr:colOff>295275</xdr:colOff>
      <xdr:row>229</xdr:row>
      <xdr:rowOff>219075</xdr:rowOff>
    </xdr:to>
    <xdr:sp macro="" textlink="">
      <xdr:nvSpPr>
        <xdr:cNvPr id="31999" name="Text Box 255"/>
        <xdr:cNvSpPr txBox="1">
          <a:spLocks noChangeArrowheads="1"/>
        </xdr:cNvSpPr>
      </xdr:nvSpPr>
      <xdr:spPr bwMode="auto">
        <a:xfrm>
          <a:off x="2752725" y="670560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232</xdr:row>
      <xdr:rowOff>66675</xdr:rowOff>
    </xdr:from>
    <xdr:to>
      <xdr:col>2</xdr:col>
      <xdr:colOff>361950</xdr:colOff>
      <xdr:row>233</xdr:row>
      <xdr:rowOff>209550</xdr:rowOff>
    </xdr:to>
    <xdr:sp macro="" textlink="">
      <xdr:nvSpPr>
        <xdr:cNvPr id="32000" name="Text Box 256"/>
        <xdr:cNvSpPr txBox="1">
          <a:spLocks noChangeArrowheads="1"/>
        </xdr:cNvSpPr>
      </xdr:nvSpPr>
      <xdr:spPr bwMode="auto">
        <a:xfrm>
          <a:off x="914400" y="679989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32001" name="Text Box 257"/>
        <xdr:cNvSpPr txBox="1">
          <a:spLocks noChangeArrowheads="1"/>
        </xdr:cNvSpPr>
      </xdr:nvSpPr>
      <xdr:spPr bwMode="auto">
        <a:xfrm>
          <a:off x="1809750" y="679989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32002" name="Text Box 258"/>
        <xdr:cNvSpPr txBox="1">
          <a:spLocks noChangeArrowheads="1"/>
        </xdr:cNvSpPr>
      </xdr:nvSpPr>
      <xdr:spPr bwMode="auto">
        <a:xfrm>
          <a:off x="2752725" y="680085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236</xdr:row>
      <xdr:rowOff>66675</xdr:rowOff>
    </xdr:from>
    <xdr:to>
      <xdr:col>2</xdr:col>
      <xdr:colOff>361950</xdr:colOff>
      <xdr:row>237</xdr:row>
      <xdr:rowOff>209550</xdr:rowOff>
    </xdr:to>
    <xdr:sp macro="" textlink="">
      <xdr:nvSpPr>
        <xdr:cNvPr id="32003" name="Text Box 259"/>
        <xdr:cNvSpPr txBox="1">
          <a:spLocks noChangeArrowheads="1"/>
        </xdr:cNvSpPr>
      </xdr:nvSpPr>
      <xdr:spPr bwMode="auto">
        <a:xfrm>
          <a:off x="914400" y="689514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32004" name="Text Box 260"/>
        <xdr:cNvSpPr txBox="1">
          <a:spLocks noChangeArrowheads="1"/>
        </xdr:cNvSpPr>
      </xdr:nvSpPr>
      <xdr:spPr bwMode="auto">
        <a:xfrm>
          <a:off x="1809750" y="689514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32005" name="Text Box 261"/>
        <xdr:cNvSpPr txBox="1">
          <a:spLocks noChangeArrowheads="1"/>
        </xdr:cNvSpPr>
      </xdr:nvSpPr>
      <xdr:spPr bwMode="auto">
        <a:xfrm>
          <a:off x="2752725" y="689610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240</xdr:row>
      <xdr:rowOff>66675</xdr:rowOff>
    </xdr:from>
    <xdr:to>
      <xdr:col>2</xdr:col>
      <xdr:colOff>361950</xdr:colOff>
      <xdr:row>241</xdr:row>
      <xdr:rowOff>209550</xdr:rowOff>
    </xdr:to>
    <xdr:sp macro="" textlink="">
      <xdr:nvSpPr>
        <xdr:cNvPr id="32006" name="Text Box 262"/>
        <xdr:cNvSpPr txBox="1">
          <a:spLocks noChangeArrowheads="1"/>
        </xdr:cNvSpPr>
      </xdr:nvSpPr>
      <xdr:spPr bwMode="auto">
        <a:xfrm>
          <a:off x="914400" y="699039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32007" name="Text Box 263"/>
        <xdr:cNvSpPr txBox="1">
          <a:spLocks noChangeArrowheads="1"/>
        </xdr:cNvSpPr>
      </xdr:nvSpPr>
      <xdr:spPr bwMode="auto">
        <a:xfrm>
          <a:off x="1809750" y="699039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32008" name="Text Box 264"/>
        <xdr:cNvSpPr txBox="1">
          <a:spLocks noChangeArrowheads="1"/>
        </xdr:cNvSpPr>
      </xdr:nvSpPr>
      <xdr:spPr bwMode="auto">
        <a:xfrm>
          <a:off x="2752725" y="699135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244</xdr:row>
      <xdr:rowOff>66675</xdr:rowOff>
    </xdr:from>
    <xdr:to>
      <xdr:col>2</xdr:col>
      <xdr:colOff>361950</xdr:colOff>
      <xdr:row>245</xdr:row>
      <xdr:rowOff>209550</xdr:rowOff>
    </xdr:to>
    <xdr:sp macro="" textlink="">
      <xdr:nvSpPr>
        <xdr:cNvPr id="32019" name="Text Box 275"/>
        <xdr:cNvSpPr txBox="1">
          <a:spLocks noChangeArrowheads="1"/>
        </xdr:cNvSpPr>
      </xdr:nvSpPr>
      <xdr:spPr bwMode="auto">
        <a:xfrm>
          <a:off x="914400" y="709136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32020" name="Text Box 276"/>
        <xdr:cNvSpPr txBox="1">
          <a:spLocks noChangeArrowheads="1"/>
        </xdr:cNvSpPr>
      </xdr:nvSpPr>
      <xdr:spPr bwMode="auto">
        <a:xfrm>
          <a:off x="1809750" y="709136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32021" name="Text Box 277"/>
        <xdr:cNvSpPr txBox="1">
          <a:spLocks noChangeArrowheads="1"/>
        </xdr:cNvSpPr>
      </xdr:nvSpPr>
      <xdr:spPr bwMode="auto">
        <a:xfrm>
          <a:off x="2752725" y="709231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248</xdr:row>
      <xdr:rowOff>66675</xdr:rowOff>
    </xdr:from>
    <xdr:to>
      <xdr:col>2</xdr:col>
      <xdr:colOff>361950</xdr:colOff>
      <xdr:row>249</xdr:row>
      <xdr:rowOff>209550</xdr:rowOff>
    </xdr:to>
    <xdr:sp macro="" textlink="">
      <xdr:nvSpPr>
        <xdr:cNvPr id="32022" name="Text Box 278"/>
        <xdr:cNvSpPr txBox="1">
          <a:spLocks noChangeArrowheads="1"/>
        </xdr:cNvSpPr>
      </xdr:nvSpPr>
      <xdr:spPr bwMode="auto">
        <a:xfrm>
          <a:off x="914400" y="71866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32023" name="Text Box 279"/>
        <xdr:cNvSpPr txBox="1">
          <a:spLocks noChangeArrowheads="1"/>
        </xdr:cNvSpPr>
      </xdr:nvSpPr>
      <xdr:spPr bwMode="auto">
        <a:xfrm>
          <a:off x="1809750" y="71866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32024" name="Text Box 280"/>
        <xdr:cNvSpPr txBox="1">
          <a:spLocks noChangeArrowheads="1"/>
        </xdr:cNvSpPr>
      </xdr:nvSpPr>
      <xdr:spPr bwMode="auto">
        <a:xfrm>
          <a:off x="2752725" y="718756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0</xdr:col>
      <xdr:colOff>142875</xdr:colOff>
      <xdr:row>251</xdr:row>
      <xdr:rowOff>142875</xdr:rowOff>
    </xdr:from>
    <xdr:to>
      <xdr:col>4</xdr:col>
      <xdr:colOff>76200</xdr:colOff>
      <xdr:row>251</xdr:row>
      <xdr:rowOff>495300</xdr:rowOff>
    </xdr:to>
    <xdr:sp macro="" textlink="">
      <xdr:nvSpPr>
        <xdr:cNvPr id="32031" name="WordArt 287"/>
        <xdr:cNvSpPr>
          <a:spLocks noChangeArrowheads="1" noChangeShapeType="1" noTextEdit="1"/>
        </xdr:cNvSpPr>
      </xdr:nvSpPr>
      <xdr:spPr bwMode="auto">
        <a:xfrm>
          <a:off x="142875" y="72713850"/>
          <a:ext cx="1638300" cy="3524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xdr:col>
      <xdr:colOff>104775</xdr:colOff>
      <xdr:row>258</xdr:row>
      <xdr:rowOff>66675</xdr:rowOff>
    </xdr:from>
    <xdr:to>
      <xdr:col>2</xdr:col>
      <xdr:colOff>361950</xdr:colOff>
      <xdr:row>259</xdr:row>
      <xdr:rowOff>209550</xdr:rowOff>
    </xdr:to>
    <xdr:sp macro="" textlink="">
      <xdr:nvSpPr>
        <xdr:cNvPr id="32032" name="Text Box 288"/>
        <xdr:cNvSpPr txBox="1">
          <a:spLocks noChangeArrowheads="1"/>
        </xdr:cNvSpPr>
      </xdr:nvSpPr>
      <xdr:spPr bwMode="auto">
        <a:xfrm>
          <a:off x="914400" y="75447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258</xdr:row>
      <xdr:rowOff>76200</xdr:rowOff>
    </xdr:from>
    <xdr:to>
      <xdr:col>4</xdr:col>
      <xdr:colOff>295275</xdr:colOff>
      <xdr:row>259</xdr:row>
      <xdr:rowOff>219075</xdr:rowOff>
    </xdr:to>
    <xdr:sp macro="" textlink="">
      <xdr:nvSpPr>
        <xdr:cNvPr id="32033" name="Text Box 289"/>
        <xdr:cNvSpPr txBox="1">
          <a:spLocks noChangeArrowheads="1"/>
        </xdr:cNvSpPr>
      </xdr:nvSpPr>
      <xdr:spPr bwMode="auto">
        <a:xfrm>
          <a:off x="1752600" y="754570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262</xdr:row>
      <xdr:rowOff>66675</xdr:rowOff>
    </xdr:from>
    <xdr:to>
      <xdr:col>2</xdr:col>
      <xdr:colOff>361950</xdr:colOff>
      <xdr:row>263</xdr:row>
      <xdr:rowOff>209550</xdr:rowOff>
    </xdr:to>
    <xdr:sp macro="" textlink="">
      <xdr:nvSpPr>
        <xdr:cNvPr id="32034" name="Text Box 290"/>
        <xdr:cNvSpPr txBox="1">
          <a:spLocks noChangeArrowheads="1"/>
        </xdr:cNvSpPr>
      </xdr:nvSpPr>
      <xdr:spPr bwMode="auto">
        <a:xfrm>
          <a:off x="914400" y="765905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262</xdr:row>
      <xdr:rowOff>76200</xdr:rowOff>
    </xdr:from>
    <xdr:to>
      <xdr:col>4</xdr:col>
      <xdr:colOff>295275</xdr:colOff>
      <xdr:row>263</xdr:row>
      <xdr:rowOff>219075</xdr:rowOff>
    </xdr:to>
    <xdr:sp macro="" textlink="">
      <xdr:nvSpPr>
        <xdr:cNvPr id="32035" name="Text Box 291"/>
        <xdr:cNvSpPr txBox="1">
          <a:spLocks noChangeArrowheads="1"/>
        </xdr:cNvSpPr>
      </xdr:nvSpPr>
      <xdr:spPr bwMode="auto">
        <a:xfrm>
          <a:off x="1752600" y="766000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266</xdr:row>
      <xdr:rowOff>66675</xdr:rowOff>
    </xdr:from>
    <xdr:to>
      <xdr:col>2</xdr:col>
      <xdr:colOff>361950</xdr:colOff>
      <xdr:row>267</xdr:row>
      <xdr:rowOff>209550</xdr:rowOff>
    </xdr:to>
    <xdr:sp macro="" textlink="">
      <xdr:nvSpPr>
        <xdr:cNvPr id="32036" name="Text Box 292"/>
        <xdr:cNvSpPr txBox="1">
          <a:spLocks noChangeArrowheads="1"/>
        </xdr:cNvSpPr>
      </xdr:nvSpPr>
      <xdr:spPr bwMode="auto">
        <a:xfrm>
          <a:off x="914400" y="77619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266</xdr:row>
      <xdr:rowOff>76200</xdr:rowOff>
    </xdr:from>
    <xdr:to>
      <xdr:col>4</xdr:col>
      <xdr:colOff>295275</xdr:colOff>
      <xdr:row>267</xdr:row>
      <xdr:rowOff>219075</xdr:rowOff>
    </xdr:to>
    <xdr:sp macro="" textlink="">
      <xdr:nvSpPr>
        <xdr:cNvPr id="32037" name="Text Box 293"/>
        <xdr:cNvSpPr txBox="1">
          <a:spLocks noChangeArrowheads="1"/>
        </xdr:cNvSpPr>
      </xdr:nvSpPr>
      <xdr:spPr bwMode="auto">
        <a:xfrm>
          <a:off x="1752600" y="776287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270</xdr:row>
      <xdr:rowOff>66675</xdr:rowOff>
    </xdr:from>
    <xdr:to>
      <xdr:col>2</xdr:col>
      <xdr:colOff>361950</xdr:colOff>
      <xdr:row>271</xdr:row>
      <xdr:rowOff>209550</xdr:rowOff>
    </xdr:to>
    <xdr:sp macro="" textlink="">
      <xdr:nvSpPr>
        <xdr:cNvPr id="32038" name="Text Box 294"/>
        <xdr:cNvSpPr txBox="1">
          <a:spLocks noChangeArrowheads="1"/>
        </xdr:cNvSpPr>
      </xdr:nvSpPr>
      <xdr:spPr bwMode="auto">
        <a:xfrm>
          <a:off x="914400" y="78628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270</xdr:row>
      <xdr:rowOff>76200</xdr:rowOff>
    </xdr:from>
    <xdr:to>
      <xdr:col>4</xdr:col>
      <xdr:colOff>295275</xdr:colOff>
      <xdr:row>271</xdr:row>
      <xdr:rowOff>219075</xdr:rowOff>
    </xdr:to>
    <xdr:sp macro="" textlink="">
      <xdr:nvSpPr>
        <xdr:cNvPr id="32039" name="Text Box 295"/>
        <xdr:cNvSpPr txBox="1">
          <a:spLocks noChangeArrowheads="1"/>
        </xdr:cNvSpPr>
      </xdr:nvSpPr>
      <xdr:spPr bwMode="auto">
        <a:xfrm>
          <a:off x="1752600" y="786384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274</xdr:row>
      <xdr:rowOff>66675</xdr:rowOff>
    </xdr:from>
    <xdr:to>
      <xdr:col>2</xdr:col>
      <xdr:colOff>361950</xdr:colOff>
      <xdr:row>275</xdr:row>
      <xdr:rowOff>209550</xdr:rowOff>
    </xdr:to>
    <xdr:sp macro="" textlink="">
      <xdr:nvSpPr>
        <xdr:cNvPr id="32040" name="Text Box 296"/>
        <xdr:cNvSpPr txBox="1">
          <a:spLocks noChangeArrowheads="1"/>
        </xdr:cNvSpPr>
      </xdr:nvSpPr>
      <xdr:spPr bwMode="auto">
        <a:xfrm>
          <a:off x="914400" y="79638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274</xdr:row>
      <xdr:rowOff>76200</xdr:rowOff>
    </xdr:from>
    <xdr:to>
      <xdr:col>4</xdr:col>
      <xdr:colOff>295275</xdr:colOff>
      <xdr:row>275</xdr:row>
      <xdr:rowOff>219075</xdr:rowOff>
    </xdr:to>
    <xdr:sp macro="" textlink="">
      <xdr:nvSpPr>
        <xdr:cNvPr id="32041" name="Text Box 297"/>
        <xdr:cNvSpPr txBox="1">
          <a:spLocks noChangeArrowheads="1"/>
        </xdr:cNvSpPr>
      </xdr:nvSpPr>
      <xdr:spPr bwMode="auto">
        <a:xfrm>
          <a:off x="1752600" y="796480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278</xdr:row>
      <xdr:rowOff>66675</xdr:rowOff>
    </xdr:from>
    <xdr:to>
      <xdr:col>2</xdr:col>
      <xdr:colOff>361950</xdr:colOff>
      <xdr:row>279</xdr:row>
      <xdr:rowOff>209550</xdr:rowOff>
    </xdr:to>
    <xdr:sp macro="" textlink="">
      <xdr:nvSpPr>
        <xdr:cNvPr id="32042" name="Text Box 298"/>
        <xdr:cNvSpPr txBox="1">
          <a:spLocks noChangeArrowheads="1"/>
        </xdr:cNvSpPr>
      </xdr:nvSpPr>
      <xdr:spPr bwMode="auto">
        <a:xfrm>
          <a:off x="914400" y="8069580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278</xdr:row>
      <xdr:rowOff>76200</xdr:rowOff>
    </xdr:from>
    <xdr:to>
      <xdr:col>4</xdr:col>
      <xdr:colOff>295275</xdr:colOff>
      <xdr:row>279</xdr:row>
      <xdr:rowOff>219075</xdr:rowOff>
    </xdr:to>
    <xdr:sp macro="" textlink="">
      <xdr:nvSpPr>
        <xdr:cNvPr id="32043" name="Text Box 299"/>
        <xdr:cNvSpPr txBox="1">
          <a:spLocks noChangeArrowheads="1"/>
        </xdr:cNvSpPr>
      </xdr:nvSpPr>
      <xdr:spPr bwMode="auto">
        <a:xfrm>
          <a:off x="1752600" y="807053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282</xdr:row>
      <xdr:rowOff>66675</xdr:rowOff>
    </xdr:from>
    <xdr:to>
      <xdr:col>2</xdr:col>
      <xdr:colOff>361950</xdr:colOff>
      <xdr:row>283</xdr:row>
      <xdr:rowOff>209550</xdr:rowOff>
    </xdr:to>
    <xdr:sp macro="" textlink="">
      <xdr:nvSpPr>
        <xdr:cNvPr id="32044" name="Text Box 300"/>
        <xdr:cNvSpPr txBox="1">
          <a:spLocks noChangeArrowheads="1"/>
        </xdr:cNvSpPr>
      </xdr:nvSpPr>
      <xdr:spPr bwMode="auto">
        <a:xfrm>
          <a:off x="914400" y="8181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282</xdr:row>
      <xdr:rowOff>76200</xdr:rowOff>
    </xdr:from>
    <xdr:to>
      <xdr:col>4</xdr:col>
      <xdr:colOff>295275</xdr:colOff>
      <xdr:row>283</xdr:row>
      <xdr:rowOff>219075</xdr:rowOff>
    </xdr:to>
    <xdr:sp macro="" textlink="">
      <xdr:nvSpPr>
        <xdr:cNvPr id="32045" name="Text Box 301"/>
        <xdr:cNvSpPr txBox="1">
          <a:spLocks noChangeArrowheads="1"/>
        </xdr:cNvSpPr>
      </xdr:nvSpPr>
      <xdr:spPr bwMode="auto">
        <a:xfrm>
          <a:off x="1752600" y="818197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286</xdr:row>
      <xdr:rowOff>66675</xdr:rowOff>
    </xdr:from>
    <xdr:to>
      <xdr:col>2</xdr:col>
      <xdr:colOff>361950</xdr:colOff>
      <xdr:row>287</xdr:row>
      <xdr:rowOff>209550</xdr:rowOff>
    </xdr:to>
    <xdr:sp macro="" textlink="">
      <xdr:nvSpPr>
        <xdr:cNvPr id="32046" name="Text Box 302"/>
        <xdr:cNvSpPr txBox="1">
          <a:spLocks noChangeArrowheads="1"/>
        </xdr:cNvSpPr>
      </xdr:nvSpPr>
      <xdr:spPr bwMode="auto">
        <a:xfrm>
          <a:off x="914400" y="8281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286</xdr:row>
      <xdr:rowOff>76200</xdr:rowOff>
    </xdr:from>
    <xdr:to>
      <xdr:col>4</xdr:col>
      <xdr:colOff>295275</xdr:colOff>
      <xdr:row>287</xdr:row>
      <xdr:rowOff>219075</xdr:rowOff>
    </xdr:to>
    <xdr:sp macro="" textlink="">
      <xdr:nvSpPr>
        <xdr:cNvPr id="32047" name="Text Box 303"/>
        <xdr:cNvSpPr txBox="1">
          <a:spLocks noChangeArrowheads="1"/>
        </xdr:cNvSpPr>
      </xdr:nvSpPr>
      <xdr:spPr bwMode="auto">
        <a:xfrm>
          <a:off x="1752600" y="828294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290</xdr:row>
      <xdr:rowOff>66675</xdr:rowOff>
    </xdr:from>
    <xdr:to>
      <xdr:col>2</xdr:col>
      <xdr:colOff>361950</xdr:colOff>
      <xdr:row>291</xdr:row>
      <xdr:rowOff>209550</xdr:rowOff>
    </xdr:to>
    <xdr:sp macro="" textlink="">
      <xdr:nvSpPr>
        <xdr:cNvPr id="32048" name="Text Box 304"/>
        <xdr:cNvSpPr txBox="1">
          <a:spLocks noChangeArrowheads="1"/>
        </xdr:cNvSpPr>
      </xdr:nvSpPr>
      <xdr:spPr bwMode="auto">
        <a:xfrm>
          <a:off x="914400" y="8400097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290</xdr:row>
      <xdr:rowOff>76200</xdr:rowOff>
    </xdr:from>
    <xdr:to>
      <xdr:col>4</xdr:col>
      <xdr:colOff>295275</xdr:colOff>
      <xdr:row>291</xdr:row>
      <xdr:rowOff>219075</xdr:rowOff>
    </xdr:to>
    <xdr:sp macro="" textlink="">
      <xdr:nvSpPr>
        <xdr:cNvPr id="32049" name="Text Box 305"/>
        <xdr:cNvSpPr txBox="1">
          <a:spLocks noChangeArrowheads="1"/>
        </xdr:cNvSpPr>
      </xdr:nvSpPr>
      <xdr:spPr bwMode="auto">
        <a:xfrm>
          <a:off x="1752600" y="840105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294</xdr:row>
      <xdr:rowOff>66675</xdr:rowOff>
    </xdr:from>
    <xdr:to>
      <xdr:col>2</xdr:col>
      <xdr:colOff>361950</xdr:colOff>
      <xdr:row>295</xdr:row>
      <xdr:rowOff>209550</xdr:rowOff>
    </xdr:to>
    <xdr:sp macro="" textlink="">
      <xdr:nvSpPr>
        <xdr:cNvPr id="32050" name="Text Box 306"/>
        <xdr:cNvSpPr txBox="1">
          <a:spLocks noChangeArrowheads="1"/>
        </xdr:cNvSpPr>
      </xdr:nvSpPr>
      <xdr:spPr bwMode="auto">
        <a:xfrm>
          <a:off x="914400" y="85020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294</xdr:row>
      <xdr:rowOff>76200</xdr:rowOff>
    </xdr:from>
    <xdr:to>
      <xdr:col>4</xdr:col>
      <xdr:colOff>295275</xdr:colOff>
      <xdr:row>295</xdr:row>
      <xdr:rowOff>219075</xdr:rowOff>
    </xdr:to>
    <xdr:sp macro="" textlink="">
      <xdr:nvSpPr>
        <xdr:cNvPr id="32051" name="Text Box 307"/>
        <xdr:cNvSpPr txBox="1">
          <a:spLocks noChangeArrowheads="1"/>
        </xdr:cNvSpPr>
      </xdr:nvSpPr>
      <xdr:spPr bwMode="auto">
        <a:xfrm>
          <a:off x="1752600" y="850296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11</xdr:col>
      <xdr:colOff>19050</xdr:colOff>
      <xdr:row>257</xdr:row>
      <xdr:rowOff>142875</xdr:rowOff>
    </xdr:from>
    <xdr:to>
      <xdr:col>18</xdr:col>
      <xdr:colOff>85725</xdr:colOff>
      <xdr:row>258</xdr:row>
      <xdr:rowOff>57150</xdr:rowOff>
    </xdr:to>
    <xdr:sp macro="" textlink="">
      <xdr:nvSpPr>
        <xdr:cNvPr id="32052" name="WordArt 308"/>
        <xdr:cNvSpPr>
          <a:spLocks noChangeArrowheads="1" noChangeShapeType="1" noTextEdit="1"/>
        </xdr:cNvSpPr>
      </xdr:nvSpPr>
      <xdr:spPr bwMode="auto">
        <a:xfrm>
          <a:off x="4238625" y="74971275"/>
          <a:ext cx="1638300" cy="4667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13</xdr:col>
      <xdr:colOff>142875</xdr:colOff>
      <xdr:row>287</xdr:row>
      <xdr:rowOff>161925</xdr:rowOff>
    </xdr:from>
    <xdr:to>
      <xdr:col>18</xdr:col>
      <xdr:colOff>161925</xdr:colOff>
      <xdr:row>289</xdr:row>
      <xdr:rowOff>219075</xdr:rowOff>
    </xdr:to>
    <xdr:sp macro="" textlink="">
      <xdr:nvSpPr>
        <xdr:cNvPr id="32054" name="WordArt 310"/>
        <xdr:cNvSpPr>
          <a:spLocks noChangeArrowheads="1" noChangeShapeType="1" noTextEdit="1"/>
        </xdr:cNvSpPr>
      </xdr:nvSpPr>
      <xdr:spPr bwMode="auto">
        <a:xfrm>
          <a:off x="4752975" y="83172300"/>
          <a:ext cx="1200150" cy="71437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11</xdr:col>
      <xdr:colOff>133350</xdr:colOff>
      <xdr:row>274</xdr:row>
      <xdr:rowOff>114300</xdr:rowOff>
    </xdr:from>
    <xdr:to>
      <xdr:col>19</xdr:col>
      <xdr:colOff>47625</xdr:colOff>
      <xdr:row>275</xdr:row>
      <xdr:rowOff>171450</xdr:rowOff>
    </xdr:to>
    <xdr:sp macro="" textlink="">
      <xdr:nvSpPr>
        <xdr:cNvPr id="32055" name="WordArt 311"/>
        <xdr:cNvSpPr>
          <a:spLocks noChangeArrowheads="1" noChangeShapeType="1" noTextEdit="1"/>
        </xdr:cNvSpPr>
      </xdr:nvSpPr>
      <xdr:spPr bwMode="auto">
        <a:xfrm>
          <a:off x="4352925" y="79686150"/>
          <a:ext cx="1743075" cy="3143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5</xdr:col>
      <xdr:colOff>104775</xdr:colOff>
      <xdr:row>255</xdr:row>
      <xdr:rowOff>114300</xdr:rowOff>
    </xdr:from>
    <xdr:to>
      <xdr:col>10</xdr:col>
      <xdr:colOff>228600</xdr:colOff>
      <xdr:row>255</xdr:row>
      <xdr:rowOff>714375</xdr:rowOff>
    </xdr:to>
    <xdr:sp macro="" textlink="">
      <xdr:nvSpPr>
        <xdr:cNvPr id="32076" name="WordArt 332"/>
        <xdr:cNvSpPr>
          <a:spLocks noChangeArrowheads="1" noChangeShapeType="1" noTextEdit="1"/>
        </xdr:cNvSpPr>
      </xdr:nvSpPr>
      <xdr:spPr bwMode="auto">
        <a:xfrm>
          <a:off x="2143125" y="73942575"/>
          <a:ext cx="2047875" cy="6000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Άσκηση 4</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5</xdr:col>
      <xdr:colOff>333375</xdr:colOff>
      <xdr:row>298</xdr:row>
      <xdr:rowOff>28575</xdr:rowOff>
    </xdr:from>
    <xdr:to>
      <xdr:col>8</xdr:col>
      <xdr:colOff>161925</xdr:colOff>
      <xdr:row>303</xdr:row>
      <xdr:rowOff>228600</xdr:rowOff>
    </xdr:to>
    <xdr:sp macro="" textlink="">
      <xdr:nvSpPr>
        <xdr:cNvPr id="32077" name="WordArt 333">
          <a:hlinkClick xmlns:r="http://schemas.openxmlformats.org/officeDocument/2006/relationships" r:id="rId2"/>
        </xdr:cNvPr>
        <xdr:cNvSpPr>
          <a:spLocks noChangeArrowheads="1" noChangeShapeType="1" noTextEdit="1"/>
        </xdr:cNvSpPr>
      </xdr:nvSpPr>
      <xdr:spPr bwMode="auto">
        <a:xfrm>
          <a:off x="2371725" y="85991700"/>
          <a:ext cx="1238250" cy="1438275"/>
        </a:xfrm>
        <a:prstGeom prst="rect">
          <a:avLst/>
        </a:prstGeom>
      </xdr:spPr>
      <xdr:txBody>
        <a:bodyPr wrap="none" fromWordArt="1">
          <a:prstTxWarp prst="textSlantUp">
            <a:avLst>
              <a:gd name="adj" fmla="val 32056"/>
            </a:avLst>
          </a:prstTxWarp>
        </a:bodyPr>
        <a:lstStyle/>
        <a:p>
          <a:pPr algn="ctr" rtl="0"/>
          <a:r>
            <a:rPr lang="el-GR" sz="3600" b="1"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Comic Sans MS"/>
            </a:rPr>
            <a:t>Τέλος</a:t>
          </a:r>
          <a:endParaRPr lang="en-GB" sz="3600" b="1"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Comic Sans MS"/>
          </a:endParaRPr>
        </a:p>
      </xdr:txBody>
    </xdr:sp>
    <xdr:clientData/>
  </xdr:twoCellAnchor>
  <xdr:twoCellAnchor>
    <xdr:from>
      <xdr:col>11</xdr:col>
      <xdr:colOff>28575</xdr:colOff>
      <xdr:row>295</xdr:row>
      <xdr:rowOff>171450</xdr:rowOff>
    </xdr:from>
    <xdr:to>
      <xdr:col>19</xdr:col>
      <xdr:colOff>533400</xdr:colOff>
      <xdr:row>297</xdr:row>
      <xdr:rowOff>171450</xdr:rowOff>
    </xdr:to>
    <xdr:sp macro="" textlink="">
      <xdr:nvSpPr>
        <xdr:cNvPr id="32078" name="AutoShape 334">
          <a:hlinkClick xmlns:r="http://schemas.openxmlformats.org/officeDocument/2006/relationships" r:id="rId3"/>
        </xdr:cNvPr>
        <xdr:cNvSpPr>
          <a:spLocks noChangeArrowheads="1"/>
        </xdr:cNvSpPr>
      </xdr:nvSpPr>
      <xdr:spPr bwMode="auto">
        <a:xfrm>
          <a:off x="4248150" y="8538210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11</xdr:col>
      <xdr:colOff>19050</xdr:colOff>
      <xdr:row>252</xdr:row>
      <xdr:rowOff>152400</xdr:rowOff>
    </xdr:from>
    <xdr:to>
      <xdr:col>19</xdr:col>
      <xdr:colOff>523875</xdr:colOff>
      <xdr:row>254</xdr:row>
      <xdr:rowOff>200025</xdr:rowOff>
    </xdr:to>
    <xdr:sp macro="" textlink="">
      <xdr:nvSpPr>
        <xdr:cNvPr id="32079" name="AutoShape 335">
          <a:hlinkClick xmlns:r="http://schemas.openxmlformats.org/officeDocument/2006/relationships" r:id="rId4"/>
        </xdr:cNvPr>
        <xdr:cNvSpPr>
          <a:spLocks noChangeArrowheads="1"/>
        </xdr:cNvSpPr>
      </xdr:nvSpPr>
      <xdr:spPr bwMode="auto">
        <a:xfrm>
          <a:off x="4238625" y="7326630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11</xdr:col>
      <xdr:colOff>0</xdr:colOff>
      <xdr:row>197</xdr:row>
      <xdr:rowOff>38100</xdr:rowOff>
    </xdr:from>
    <xdr:to>
      <xdr:col>19</xdr:col>
      <xdr:colOff>504825</xdr:colOff>
      <xdr:row>199</xdr:row>
      <xdr:rowOff>85725</xdr:rowOff>
    </xdr:to>
    <xdr:sp macro="" textlink="">
      <xdr:nvSpPr>
        <xdr:cNvPr id="32080" name="AutoShape 336">
          <a:hlinkClick xmlns:r="http://schemas.openxmlformats.org/officeDocument/2006/relationships" r:id="rId5"/>
        </xdr:cNvPr>
        <xdr:cNvSpPr>
          <a:spLocks noChangeArrowheads="1"/>
        </xdr:cNvSpPr>
      </xdr:nvSpPr>
      <xdr:spPr bwMode="auto">
        <a:xfrm>
          <a:off x="4219575" y="5901690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11</xdr:col>
      <xdr:colOff>19050</xdr:colOff>
      <xdr:row>108</xdr:row>
      <xdr:rowOff>47625</xdr:rowOff>
    </xdr:from>
    <xdr:to>
      <xdr:col>19</xdr:col>
      <xdr:colOff>523875</xdr:colOff>
      <xdr:row>110</xdr:row>
      <xdr:rowOff>57150</xdr:rowOff>
    </xdr:to>
    <xdr:sp macro="" textlink="">
      <xdr:nvSpPr>
        <xdr:cNvPr id="32081" name="AutoShape 337">
          <a:hlinkClick xmlns:r="http://schemas.openxmlformats.org/officeDocument/2006/relationships" r:id="rId6"/>
        </xdr:cNvPr>
        <xdr:cNvSpPr>
          <a:spLocks noChangeArrowheads="1"/>
        </xdr:cNvSpPr>
      </xdr:nvSpPr>
      <xdr:spPr bwMode="auto">
        <a:xfrm>
          <a:off x="4238625" y="30375225"/>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11</xdr:col>
      <xdr:colOff>95250</xdr:colOff>
      <xdr:row>61</xdr:row>
      <xdr:rowOff>19050</xdr:rowOff>
    </xdr:from>
    <xdr:to>
      <xdr:col>19</xdr:col>
      <xdr:colOff>600075</xdr:colOff>
      <xdr:row>63</xdr:row>
      <xdr:rowOff>28575</xdr:rowOff>
    </xdr:to>
    <xdr:sp macro="" textlink="">
      <xdr:nvSpPr>
        <xdr:cNvPr id="32082" name="AutoShape 338">
          <a:hlinkClick xmlns:r="http://schemas.openxmlformats.org/officeDocument/2006/relationships" r:id="rId7"/>
        </xdr:cNvPr>
        <xdr:cNvSpPr>
          <a:spLocks noChangeArrowheads="1"/>
        </xdr:cNvSpPr>
      </xdr:nvSpPr>
      <xdr:spPr bwMode="auto">
        <a:xfrm>
          <a:off x="4314825" y="17345025"/>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13</xdr:col>
      <xdr:colOff>76199</xdr:colOff>
      <xdr:row>0</xdr:row>
      <xdr:rowOff>142875</xdr:rowOff>
    </xdr:from>
    <xdr:to>
      <xdr:col>21</xdr:col>
      <xdr:colOff>200024</xdr:colOff>
      <xdr:row>0</xdr:row>
      <xdr:rowOff>647700</xdr:rowOff>
    </xdr:to>
    <xdr:sp macro="" textlink="">
      <xdr:nvSpPr>
        <xdr:cNvPr id="32083" name="AutoShape 339">
          <a:hlinkClick xmlns:r="http://schemas.openxmlformats.org/officeDocument/2006/relationships" r:id="rId8"/>
        </xdr:cNvPr>
        <xdr:cNvSpPr>
          <a:spLocks noChangeArrowheads="1"/>
        </xdr:cNvSpPr>
      </xdr:nvSpPr>
      <xdr:spPr bwMode="auto">
        <a:xfrm>
          <a:off x="4810124" y="142875"/>
          <a:ext cx="21812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14</xdr:col>
      <xdr:colOff>38100</xdr:colOff>
      <xdr:row>18</xdr:row>
      <xdr:rowOff>0</xdr:rowOff>
    </xdr:from>
    <xdr:to>
      <xdr:col>23</xdr:col>
      <xdr:colOff>104775</xdr:colOff>
      <xdr:row>19</xdr:row>
      <xdr:rowOff>171450</xdr:rowOff>
    </xdr:to>
    <xdr:sp macro="" textlink="">
      <xdr:nvSpPr>
        <xdr:cNvPr id="118" name="WordArt 1"/>
        <xdr:cNvSpPr>
          <a:spLocks noChangeArrowheads="1" noChangeShapeType="1" noTextEdit="1"/>
        </xdr:cNvSpPr>
      </xdr:nvSpPr>
      <xdr:spPr bwMode="auto">
        <a:xfrm>
          <a:off x="1838325" y="4676775"/>
          <a:ext cx="1524000" cy="3429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1η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25</xdr:col>
      <xdr:colOff>28575</xdr:colOff>
      <xdr:row>18</xdr:row>
      <xdr:rowOff>66675</xdr:rowOff>
    </xdr:from>
    <xdr:to>
      <xdr:col>34</xdr:col>
      <xdr:colOff>142875</xdr:colOff>
      <xdr:row>20</xdr:row>
      <xdr:rowOff>47625</xdr:rowOff>
    </xdr:to>
    <xdr:sp macro="" textlink="">
      <xdr:nvSpPr>
        <xdr:cNvPr id="119" name="WordArt 4"/>
        <xdr:cNvSpPr>
          <a:spLocks noChangeArrowheads="1" noChangeShapeType="1" noTextEdit="1"/>
        </xdr:cNvSpPr>
      </xdr:nvSpPr>
      <xdr:spPr bwMode="auto">
        <a:xfrm>
          <a:off x="3609975" y="4743450"/>
          <a:ext cx="1571625" cy="3429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2η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36</xdr:col>
      <xdr:colOff>28575</xdr:colOff>
      <xdr:row>18</xdr:row>
      <xdr:rowOff>66675</xdr:rowOff>
    </xdr:from>
    <xdr:to>
      <xdr:col>45</xdr:col>
      <xdr:colOff>142875</xdr:colOff>
      <xdr:row>20</xdr:row>
      <xdr:rowOff>47625</xdr:rowOff>
    </xdr:to>
    <xdr:sp macro="" textlink="">
      <xdr:nvSpPr>
        <xdr:cNvPr id="120" name="WordArt 5"/>
        <xdr:cNvSpPr>
          <a:spLocks noChangeArrowheads="1" noChangeShapeType="1" noTextEdit="1"/>
        </xdr:cNvSpPr>
      </xdr:nvSpPr>
      <xdr:spPr bwMode="auto">
        <a:xfrm>
          <a:off x="5391150" y="4743450"/>
          <a:ext cx="1571625" cy="3429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3η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8</xdr:col>
      <xdr:colOff>190500</xdr:colOff>
      <xdr:row>5</xdr:row>
      <xdr:rowOff>200025</xdr:rowOff>
    </xdr:from>
    <xdr:to>
      <xdr:col>47</xdr:col>
      <xdr:colOff>38100</xdr:colOff>
      <xdr:row>20</xdr:row>
      <xdr:rowOff>0</xdr:rowOff>
    </xdr:to>
    <xdr:sp macro="" textlink="">
      <xdr:nvSpPr>
        <xdr:cNvPr id="121" name="Rectangle 120"/>
        <xdr:cNvSpPr/>
      </xdr:nvSpPr>
      <xdr:spPr bwMode="auto">
        <a:xfrm>
          <a:off x="3638550" y="2076450"/>
          <a:ext cx="9877425" cy="4019550"/>
        </a:xfrm>
        <a:prstGeom prst="rect">
          <a:avLst/>
        </a:prstGeom>
        <a:noFill/>
        <a:ln w="60325" cap="flat" cmpd="sng" algn="ctr">
          <a:solidFill>
            <a:srgbClr val="0000CC"/>
          </a:solidFill>
          <a:prstDash val="solid"/>
          <a:round/>
          <a:headEnd type="none" w="med" len="med"/>
          <a:tailEnd type="none" w="med" len="med"/>
        </a:ln>
        <a:effectLst/>
      </xdr:spPr>
      <xdr:txBody>
        <a:bodyPr vertOverflow="clip" wrap="square" lIns="18288" tIns="0" rIns="0" bIns="0" rtlCol="0" anchor="ctr" upright="1"/>
        <a:lstStyle/>
        <a:p>
          <a:pPr algn="ctr"/>
          <a:endParaRPr lang="en-GB" sz="1100"/>
        </a:p>
      </xdr:txBody>
    </xdr:sp>
    <xdr:clientData/>
  </xdr:twoCellAnchor>
  <xdr:twoCellAnchor>
    <xdr:from>
      <xdr:col>10</xdr:col>
      <xdr:colOff>200025</xdr:colOff>
      <xdr:row>15</xdr:row>
      <xdr:rowOff>152400</xdr:rowOff>
    </xdr:from>
    <xdr:to>
      <xdr:col>12</xdr:col>
      <xdr:colOff>123825</xdr:colOff>
      <xdr:row>19</xdr:row>
      <xdr:rowOff>142875</xdr:rowOff>
    </xdr:to>
    <xdr:pic>
      <xdr:nvPicPr>
        <xdr:cNvPr id="122" name="Picture 2" descr="CRCTR168"/>
        <xdr:cNvPicPr>
          <a:picLocks noChangeAspect="1" noChangeArrowheads="1"/>
        </xdr:cNvPicPr>
      </xdr:nvPicPr>
      <xdr:blipFill>
        <a:blip xmlns:r="http://schemas.openxmlformats.org/officeDocument/2006/relationships" r:embed="rId9" cstate="print"/>
        <a:srcRect/>
        <a:stretch>
          <a:fillRect/>
        </a:stretch>
      </xdr:blipFill>
      <xdr:spPr bwMode="auto">
        <a:xfrm>
          <a:off x="4162425" y="4962525"/>
          <a:ext cx="438150" cy="1028700"/>
        </a:xfrm>
        <a:prstGeom prst="rect">
          <a:avLst/>
        </a:prstGeom>
        <a:noFill/>
        <a:ln w="9525">
          <a:noFill/>
          <a:miter lim="800000"/>
          <a:headEnd/>
          <a:tailEnd/>
        </a:ln>
      </xdr:spPr>
    </xdr:pic>
    <xdr:clientData/>
  </xdr:twoCellAnchor>
  <xdr:twoCellAnchor>
    <xdr:from>
      <xdr:col>9</xdr:col>
      <xdr:colOff>38100</xdr:colOff>
      <xdr:row>10</xdr:row>
      <xdr:rowOff>57149</xdr:rowOff>
    </xdr:from>
    <xdr:to>
      <xdr:col>13</xdr:col>
      <xdr:colOff>171450</xdr:colOff>
      <xdr:row>14</xdr:row>
      <xdr:rowOff>95249</xdr:rowOff>
    </xdr:to>
    <xdr:sp macro="" textlink="">
      <xdr:nvSpPr>
        <xdr:cNvPr id="123" name="Rectangular Callout 122"/>
        <xdr:cNvSpPr/>
      </xdr:nvSpPr>
      <xdr:spPr bwMode="auto">
        <a:xfrm>
          <a:off x="3743325" y="3571874"/>
          <a:ext cx="1162050" cy="1076325"/>
        </a:xfrm>
        <a:prstGeom prst="wedgeRectCallout">
          <a:avLst>
            <a:gd name="adj1" fmla="val 2937"/>
            <a:gd name="adj2" fmla="val 76659"/>
          </a:avLst>
        </a:prstGeom>
        <a:solidFill>
          <a:srgbClr val="00C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l-GR" sz="1100"/>
            <a:t>Γράψε</a:t>
          </a:r>
          <a:r>
            <a:rPr lang="el-GR" sz="1100" baseline="0"/>
            <a:t> ένα κλάσμα και δες το σε δεκαδικό.</a:t>
          </a:r>
        </a:p>
        <a:p>
          <a:pPr algn="ctr"/>
          <a:r>
            <a:rPr lang="el-GR" sz="1100" baseline="0"/>
            <a:t>Η μηχανή σου δείχνει μέχρι 3 μονάδες.</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542925</xdr:colOff>
      <xdr:row>17</xdr:row>
      <xdr:rowOff>276225</xdr:rowOff>
    </xdr:from>
    <xdr:to>
      <xdr:col>2</xdr:col>
      <xdr:colOff>180975</xdr:colOff>
      <xdr:row>22</xdr:row>
      <xdr:rowOff>257175</xdr:rowOff>
    </xdr:to>
    <xdr:pic>
      <xdr:nvPicPr>
        <xdr:cNvPr id="85733" name="Picture 2" descr="CRCTR168"/>
        <xdr:cNvPicPr>
          <a:picLocks noChangeAspect="1" noChangeArrowheads="1"/>
        </xdr:cNvPicPr>
      </xdr:nvPicPr>
      <xdr:blipFill>
        <a:blip xmlns:r="http://schemas.openxmlformats.org/officeDocument/2006/relationships" r:embed="rId1" cstate="print"/>
        <a:srcRect/>
        <a:stretch>
          <a:fillRect/>
        </a:stretch>
      </xdr:blipFill>
      <xdr:spPr bwMode="auto">
        <a:xfrm>
          <a:off x="542925" y="6238875"/>
          <a:ext cx="1009650" cy="1409700"/>
        </a:xfrm>
        <a:prstGeom prst="rect">
          <a:avLst/>
        </a:prstGeom>
        <a:noFill/>
        <a:ln w="9525">
          <a:noFill/>
          <a:miter lim="800000"/>
          <a:headEnd/>
          <a:tailEnd/>
        </a:ln>
      </xdr:spPr>
    </xdr:pic>
    <xdr:clientData/>
  </xdr:twoCellAnchor>
  <xdr:twoCellAnchor>
    <xdr:from>
      <xdr:col>0</xdr:col>
      <xdr:colOff>123825</xdr:colOff>
      <xdr:row>0</xdr:row>
      <xdr:rowOff>123825</xdr:rowOff>
    </xdr:from>
    <xdr:to>
      <xdr:col>8</xdr:col>
      <xdr:colOff>209550</xdr:colOff>
      <xdr:row>0</xdr:row>
      <xdr:rowOff>762000</xdr:rowOff>
    </xdr:to>
    <xdr:sp macro="" textlink="">
      <xdr:nvSpPr>
        <xdr:cNvPr id="84995" name="WordArt 3"/>
        <xdr:cNvSpPr>
          <a:spLocks noChangeArrowheads="1" noChangeShapeType="1" noTextEdit="1"/>
        </xdr:cNvSpPr>
      </xdr:nvSpPr>
      <xdr:spPr bwMode="auto">
        <a:xfrm>
          <a:off x="123825" y="123825"/>
          <a:ext cx="5572125" cy="63817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Μετατροπή κλάσματος σε δεκαδικό σε επιφάνεια</a:t>
          </a:r>
          <a:r>
            <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 1</a:t>
          </a:r>
        </a:p>
      </xdr:txBody>
    </xdr:sp>
    <xdr:clientData/>
  </xdr:twoCellAnchor>
  <xdr:twoCellAnchor>
    <xdr:from>
      <xdr:col>7</xdr:col>
      <xdr:colOff>161925</xdr:colOff>
      <xdr:row>0</xdr:row>
      <xdr:rowOff>695325</xdr:rowOff>
    </xdr:from>
    <xdr:to>
      <xdr:col>10</xdr:col>
      <xdr:colOff>190500</xdr:colOff>
      <xdr:row>2</xdr:row>
      <xdr:rowOff>190500</xdr:rowOff>
    </xdr:to>
    <xdr:sp macro="" textlink="">
      <xdr:nvSpPr>
        <xdr:cNvPr id="84996" name="AutoShape 4">
          <a:hlinkClick xmlns:r="http://schemas.openxmlformats.org/officeDocument/2006/relationships" r:id="rId2"/>
        </xdr:cNvPr>
        <xdr:cNvSpPr>
          <a:spLocks noChangeArrowheads="1"/>
        </xdr:cNvSpPr>
      </xdr:nvSpPr>
      <xdr:spPr bwMode="auto">
        <a:xfrm>
          <a:off x="4962525" y="695325"/>
          <a:ext cx="2085975" cy="53340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6</xdr:col>
      <xdr:colOff>152400</xdr:colOff>
      <xdr:row>23</xdr:row>
      <xdr:rowOff>257175</xdr:rowOff>
    </xdr:from>
    <xdr:to>
      <xdr:col>9</xdr:col>
      <xdr:colOff>180975</xdr:colOff>
      <xdr:row>25</xdr:row>
      <xdr:rowOff>161925</xdr:rowOff>
    </xdr:to>
    <xdr:sp macro="" textlink="">
      <xdr:nvSpPr>
        <xdr:cNvPr id="84997" name="AutoShape 5">
          <a:hlinkClick xmlns:r="http://schemas.openxmlformats.org/officeDocument/2006/relationships" r:id="rId3"/>
        </xdr:cNvPr>
        <xdr:cNvSpPr>
          <a:spLocks noChangeArrowheads="1"/>
        </xdr:cNvSpPr>
      </xdr:nvSpPr>
      <xdr:spPr bwMode="auto">
        <a:xfrm>
          <a:off x="4267200" y="7934325"/>
          <a:ext cx="2085975" cy="4762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xdr:col>
      <xdr:colOff>238125</xdr:colOff>
      <xdr:row>25</xdr:row>
      <xdr:rowOff>228600</xdr:rowOff>
    </xdr:from>
    <xdr:to>
      <xdr:col>7</xdr:col>
      <xdr:colOff>200025</xdr:colOff>
      <xdr:row>28</xdr:row>
      <xdr:rowOff>57150</xdr:rowOff>
    </xdr:to>
    <xdr:sp macro="" textlink="">
      <xdr:nvSpPr>
        <xdr:cNvPr id="84998" name="WordArt 6"/>
        <xdr:cNvSpPr>
          <a:spLocks noChangeArrowheads="1" noChangeShapeType="1" noTextEdit="1"/>
        </xdr:cNvSpPr>
      </xdr:nvSpPr>
      <xdr:spPr bwMode="auto">
        <a:xfrm>
          <a:off x="923925" y="8477250"/>
          <a:ext cx="4076700" cy="6858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Κλάσματα μέχρι 30 ακέραιες μονάδες.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3</xdr:col>
      <xdr:colOff>209550</xdr:colOff>
      <xdr:row>29</xdr:row>
      <xdr:rowOff>142875</xdr:rowOff>
    </xdr:from>
    <xdr:to>
      <xdr:col>4</xdr:col>
      <xdr:colOff>638175</xdr:colOff>
      <xdr:row>33</xdr:row>
      <xdr:rowOff>257175</xdr:rowOff>
    </xdr:to>
    <xdr:sp macro="" textlink="">
      <xdr:nvSpPr>
        <xdr:cNvPr id="84999" name="AutoShape 7"/>
        <xdr:cNvSpPr>
          <a:spLocks noChangeArrowheads="1"/>
        </xdr:cNvSpPr>
      </xdr:nvSpPr>
      <xdr:spPr bwMode="auto">
        <a:xfrm>
          <a:off x="2266950" y="9534525"/>
          <a:ext cx="1114425" cy="1504950"/>
        </a:xfrm>
        <a:prstGeom prst="wedgeRectCallout">
          <a:avLst>
            <a:gd name="adj1" fmla="val -122648"/>
            <a:gd name="adj2" fmla="val -26583"/>
          </a:avLst>
        </a:prstGeom>
        <a:solidFill>
          <a:srgbClr val="00CCFF"/>
        </a:solidFill>
        <a:ln w="9525">
          <a:solidFill>
            <a:srgbClr val="000000"/>
          </a:solidFill>
          <a:miter lim="800000"/>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Γράψε το κλάσμα στα κίτρινα κουτάκια.</a:t>
          </a:r>
        </a:p>
      </xdr:txBody>
    </xdr:sp>
    <xdr:clientData/>
  </xdr:twoCellAnchor>
  <xdr:twoCellAnchor>
    <xdr:from>
      <xdr:col>2</xdr:col>
      <xdr:colOff>142875</xdr:colOff>
      <xdr:row>31</xdr:row>
      <xdr:rowOff>180975</xdr:rowOff>
    </xdr:from>
    <xdr:to>
      <xdr:col>3</xdr:col>
      <xdr:colOff>180975</xdr:colOff>
      <xdr:row>32</xdr:row>
      <xdr:rowOff>238125</xdr:rowOff>
    </xdr:to>
    <xdr:pic>
      <xdr:nvPicPr>
        <xdr:cNvPr id="85739" name="Picture 8" descr="http://www.olympiafest.gr/images/films/cirkeline3.jpg"/>
        <xdr:cNvPicPr>
          <a:picLocks noChangeAspect="1" noChangeArrowheads="1"/>
        </xdr:cNvPicPr>
      </xdr:nvPicPr>
      <xdr:blipFill>
        <a:blip xmlns:r="http://schemas.openxmlformats.org/officeDocument/2006/relationships" r:embed="rId4" r:link="rId5" cstate="print"/>
        <a:srcRect/>
        <a:stretch>
          <a:fillRect/>
        </a:stretch>
      </xdr:blipFill>
      <xdr:spPr bwMode="auto">
        <a:xfrm>
          <a:off x="1514475" y="10267950"/>
          <a:ext cx="723900" cy="466725"/>
        </a:xfrm>
        <a:prstGeom prst="rect">
          <a:avLst/>
        </a:prstGeom>
        <a:noFill/>
        <a:ln w="9525">
          <a:noFill/>
          <a:miter lim="800000"/>
          <a:headEnd/>
          <a:tailEnd/>
        </a:ln>
      </xdr:spPr>
    </xdr:pic>
    <xdr:clientData/>
  </xdr:twoCellAnchor>
  <xdr:twoCellAnchor>
    <xdr:from>
      <xdr:col>0</xdr:col>
      <xdr:colOff>428625</xdr:colOff>
      <xdr:row>34</xdr:row>
      <xdr:rowOff>76200</xdr:rowOff>
    </xdr:from>
    <xdr:to>
      <xdr:col>9</xdr:col>
      <xdr:colOff>409575</xdr:colOff>
      <xdr:row>34</xdr:row>
      <xdr:rowOff>352425</xdr:rowOff>
    </xdr:to>
    <xdr:sp macro="" textlink="">
      <xdr:nvSpPr>
        <xdr:cNvPr id="85001" name="AutoShape 9"/>
        <xdr:cNvSpPr>
          <a:spLocks noChangeArrowheads="1"/>
        </xdr:cNvSpPr>
      </xdr:nvSpPr>
      <xdr:spPr bwMode="auto">
        <a:xfrm>
          <a:off x="428625" y="11144250"/>
          <a:ext cx="6153150" cy="276225"/>
        </a:xfrm>
        <a:prstGeom prst="wedgeRectCallout">
          <a:avLst>
            <a:gd name="adj1" fmla="val -2745"/>
            <a:gd name="adj2" fmla="val 112069"/>
          </a:avLst>
        </a:prstGeom>
        <a:solidFill>
          <a:srgbClr val="00CCFF"/>
        </a:solidFill>
        <a:ln w="9525">
          <a:solidFill>
            <a:srgbClr val="000000"/>
          </a:solidFill>
          <a:miter lim="800000"/>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Να οι ακέραιες μονάδες που έχει το κλάσμα που έγραψες.</a:t>
          </a:r>
        </a:p>
      </xdr:txBody>
    </xdr:sp>
    <xdr:clientData/>
  </xdr:twoCellAnchor>
  <xdr:twoCellAnchor>
    <xdr:from>
      <xdr:col>4</xdr:col>
      <xdr:colOff>276225</xdr:colOff>
      <xdr:row>38</xdr:row>
      <xdr:rowOff>104775</xdr:rowOff>
    </xdr:from>
    <xdr:to>
      <xdr:col>8</xdr:col>
      <xdr:colOff>85725</xdr:colOff>
      <xdr:row>40</xdr:row>
      <xdr:rowOff>161925</xdr:rowOff>
    </xdr:to>
    <xdr:sp macro="" textlink="">
      <xdr:nvSpPr>
        <xdr:cNvPr id="85002" name="AutoShape 10">
          <a:hlinkClick xmlns:r="http://schemas.openxmlformats.org/officeDocument/2006/relationships" r:id="rId6"/>
        </xdr:cNvPr>
        <xdr:cNvSpPr>
          <a:spLocks noChangeArrowheads="1"/>
        </xdr:cNvSpPr>
      </xdr:nvSpPr>
      <xdr:spPr bwMode="auto">
        <a:xfrm>
          <a:off x="3019425" y="15478125"/>
          <a:ext cx="2552700" cy="5429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ΕΠΙΣΤΡΟΦΗ</a:t>
          </a:r>
        </a:p>
      </xdr:txBody>
    </xdr:sp>
    <xdr:clientData/>
  </xdr:twoCellAnchor>
  <xdr:twoCellAnchor>
    <xdr:from>
      <xdr:col>0</xdr:col>
      <xdr:colOff>352425</xdr:colOff>
      <xdr:row>7</xdr:row>
      <xdr:rowOff>152400</xdr:rowOff>
    </xdr:from>
    <xdr:to>
      <xdr:col>8</xdr:col>
      <xdr:colOff>238125</xdr:colOff>
      <xdr:row>7</xdr:row>
      <xdr:rowOff>581025</xdr:rowOff>
    </xdr:to>
    <xdr:sp macro="" textlink="">
      <xdr:nvSpPr>
        <xdr:cNvPr id="85005" name="WordArt 13"/>
        <xdr:cNvSpPr>
          <a:spLocks noChangeArrowheads="1" noChangeShapeType="1" noTextEdit="1"/>
        </xdr:cNvSpPr>
      </xdr:nvSpPr>
      <xdr:spPr bwMode="auto">
        <a:xfrm>
          <a:off x="352425" y="2981325"/>
          <a:ext cx="5372100" cy="4286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Δες τη μετατροπή κλάσματος σε δεκαδικό σε επιφάνεια κύκλου</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9</xdr:col>
      <xdr:colOff>123825</xdr:colOff>
      <xdr:row>2</xdr:row>
      <xdr:rowOff>161925</xdr:rowOff>
    </xdr:from>
    <xdr:to>
      <xdr:col>9</xdr:col>
      <xdr:colOff>581025</xdr:colOff>
      <xdr:row>6</xdr:row>
      <xdr:rowOff>238125</xdr:rowOff>
    </xdr:to>
    <xdr:pic>
      <xdr:nvPicPr>
        <xdr:cNvPr id="85743" name="Picture 14"/>
        <xdr:cNvPicPr>
          <a:picLocks noChangeAspect="1" noChangeArrowheads="1"/>
        </xdr:cNvPicPr>
      </xdr:nvPicPr>
      <xdr:blipFill>
        <a:blip xmlns:r="http://schemas.openxmlformats.org/officeDocument/2006/relationships" r:embed="rId7" cstate="print"/>
        <a:srcRect/>
        <a:stretch>
          <a:fillRect/>
        </a:stretch>
      </xdr:blipFill>
      <xdr:spPr bwMode="auto">
        <a:xfrm>
          <a:off x="6296025" y="1200150"/>
          <a:ext cx="457200" cy="1524000"/>
        </a:xfrm>
        <a:prstGeom prst="rect">
          <a:avLst/>
        </a:prstGeom>
        <a:noFill/>
        <a:ln w="9525">
          <a:noFill/>
          <a:miter lim="800000"/>
          <a:headEnd/>
          <a:tailEnd/>
        </a:ln>
      </xdr:spPr>
    </xdr:pic>
    <xdr:clientData/>
  </xdr:twoCellAnchor>
  <xdr:twoCellAnchor>
    <xdr:from>
      <xdr:col>2</xdr:col>
      <xdr:colOff>247650</xdr:colOff>
      <xdr:row>13</xdr:row>
      <xdr:rowOff>123825</xdr:rowOff>
    </xdr:from>
    <xdr:to>
      <xdr:col>7</xdr:col>
      <xdr:colOff>0</xdr:colOff>
      <xdr:row>13</xdr:row>
      <xdr:rowOff>133350</xdr:rowOff>
    </xdr:to>
    <xdr:sp macro="" textlink="">
      <xdr:nvSpPr>
        <xdr:cNvPr id="85744" name="Line 23"/>
        <xdr:cNvSpPr>
          <a:spLocks noChangeShapeType="1"/>
        </xdr:cNvSpPr>
      </xdr:nvSpPr>
      <xdr:spPr bwMode="auto">
        <a:xfrm flipV="1">
          <a:off x="1619250" y="4943475"/>
          <a:ext cx="3181350" cy="9525"/>
        </a:xfrm>
        <a:prstGeom prst="line">
          <a:avLst/>
        </a:prstGeom>
        <a:noFill/>
        <a:ln w="60325">
          <a:solidFill>
            <a:srgbClr val="FF0000"/>
          </a:solidFill>
          <a:round/>
          <a:headEnd/>
          <a:tailEnd type="triangle" w="med" len="med"/>
        </a:ln>
      </xdr:spPr>
    </xdr:sp>
    <xdr:clientData/>
  </xdr:twoCellAnchor>
  <xdr:twoCellAnchor>
    <xdr:from>
      <xdr:col>8</xdr:col>
      <xdr:colOff>28575</xdr:colOff>
      <xdr:row>29</xdr:row>
      <xdr:rowOff>104775</xdr:rowOff>
    </xdr:from>
    <xdr:to>
      <xdr:col>9</xdr:col>
      <xdr:colOff>314325</xdr:colOff>
      <xdr:row>33</xdr:row>
      <xdr:rowOff>38100</xdr:rowOff>
    </xdr:to>
    <xdr:graphicFrame macro="">
      <xdr:nvGraphicFramePr>
        <xdr:cNvPr id="85745"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238125</xdr:colOff>
      <xdr:row>45</xdr:row>
      <xdr:rowOff>123825</xdr:rowOff>
    </xdr:from>
    <xdr:to>
      <xdr:col>3</xdr:col>
      <xdr:colOff>447675</xdr:colOff>
      <xdr:row>50</xdr:row>
      <xdr:rowOff>133350</xdr:rowOff>
    </xdr:to>
    <xdr:sp macro="" textlink="">
      <xdr:nvSpPr>
        <xdr:cNvPr id="85018" name="AutoShape 26"/>
        <xdr:cNvSpPr>
          <a:spLocks noChangeArrowheads="1"/>
        </xdr:cNvSpPr>
      </xdr:nvSpPr>
      <xdr:spPr bwMode="auto">
        <a:xfrm>
          <a:off x="1609725" y="17411700"/>
          <a:ext cx="895350" cy="1685925"/>
        </a:xfrm>
        <a:prstGeom prst="wedgeRectCallout">
          <a:avLst>
            <a:gd name="adj1" fmla="val -77657"/>
            <a:gd name="adj2" fmla="val -30792"/>
          </a:avLst>
        </a:prstGeom>
        <a:solidFill>
          <a:srgbClr val="00CCFF"/>
        </a:solidFill>
        <a:ln w="9525">
          <a:solidFill>
            <a:srgbClr val="000000"/>
          </a:solidFill>
          <a:miter lim="800000"/>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Γράψε το κλάσμα στα κίτρινα κουτάκια.</a:t>
          </a:r>
        </a:p>
      </xdr:txBody>
    </xdr:sp>
    <xdr:clientData/>
  </xdr:twoCellAnchor>
  <xdr:twoCellAnchor>
    <xdr:from>
      <xdr:col>0</xdr:col>
      <xdr:colOff>561975</xdr:colOff>
      <xdr:row>48</xdr:row>
      <xdr:rowOff>47625</xdr:rowOff>
    </xdr:from>
    <xdr:to>
      <xdr:col>1</xdr:col>
      <xdr:colOff>600075</xdr:colOff>
      <xdr:row>49</xdr:row>
      <xdr:rowOff>228600</xdr:rowOff>
    </xdr:to>
    <xdr:pic>
      <xdr:nvPicPr>
        <xdr:cNvPr id="85747" name="Picture 27" descr="http://www.olympiafest.gr/images/films/cirkeline3.jpg"/>
        <xdr:cNvPicPr>
          <a:picLocks noChangeAspect="1" noChangeArrowheads="1"/>
        </xdr:cNvPicPr>
      </xdr:nvPicPr>
      <xdr:blipFill>
        <a:blip xmlns:r="http://schemas.openxmlformats.org/officeDocument/2006/relationships" r:embed="rId4" r:link="rId5" cstate="print"/>
        <a:srcRect/>
        <a:stretch>
          <a:fillRect/>
        </a:stretch>
      </xdr:blipFill>
      <xdr:spPr bwMode="auto">
        <a:xfrm>
          <a:off x="561975" y="18440400"/>
          <a:ext cx="723900" cy="466725"/>
        </a:xfrm>
        <a:prstGeom prst="rect">
          <a:avLst/>
        </a:prstGeom>
        <a:noFill/>
        <a:ln w="9525">
          <a:noFill/>
          <a:miter lim="800000"/>
          <a:headEnd/>
          <a:tailEnd/>
        </a:ln>
      </xdr:spPr>
    </xdr:pic>
    <xdr:clientData/>
  </xdr:twoCellAnchor>
  <xdr:twoCellAnchor>
    <xdr:from>
      <xdr:col>3</xdr:col>
      <xdr:colOff>485775</xdr:colOff>
      <xdr:row>45</xdr:row>
      <xdr:rowOff>142875</xdr:rowOff>
    </xdr:from>
    <xdr:to>
      <xdr:col>4</xdr:col>
      <xdr:colOff>590550</xdr:colOff>
      <xdr:row>50</xdr:row>
      <xdr:rowOff>152400</xdr:rowOff>
    </xdr:to>
    <xdr:sp macro="" textlink="">
      <xdr:nvSpPr>
        <xdr:cNvPr id="85021" name="AutoShape 29"/>
        <xdr:cNvSpPr>
          <a:spLocks noChangeArrowheads="1"/>
        </xdr:cNvSpPr>
      </xdr:nvSpPr>
      <xdr:spPr bwMode="auto">
        <a:xfrm>
          <a:off x="2543175" y="17430750"/>
          <a:ext cx="790575" cy="1685925"/>
        </a:xfrm>
        <a:prstGeom prst="wedgeRectCallout">
          <a:avLst>
            <a:gd name="adj1" fmla="val 68074"/>
            <a:gd name="adj2" fmla="val -21750"/>
          </a:avLst>
        </a:prstGeom>
        <a:solidFill>
          <a:srgbClr val="00CCFF"/>
        </a:solidFill>
        <a:ln w="9525">
          <a:solidFill>
            <a:srgbClr val="000000"/>
          </a:solidFill>
          <a:miter lim="800000"/>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Γράψε το δεκαδικό στο καφέ κουτάκι.</a:t>
          </a:r>
        </a:p>
      </xdr:txBody>
    </xdr:sp>
    <xdr:clientData/>
  </xdr:twoCellAnchor>
  <xdr:twoCellAnchor>
    <xdr:from>
      <xdr:col>3</xdr:col>
      <xdr:colOff>123825</xdr:colOff>
      <xdr:row>40</xdr:row>
      <xdr:rowOff>219075</xdr:rowOff>
    </xdr:from>
    <xdr:to>
      <xdr:col>6</xdr:col>
      <xdr:colOff>19050</xdr:colOff>
      <xdr:row>42</xdr:row>
      <xdr:rowOff>228600</xdr:rowOff>
    </xdr:to>
    <xdr:sp macro="" textlink="">
      <xdr:nvSpPr>
        <xdr:cNvPr id="85022" name="WordArt 30"/>
        <xdr:cNvSpPr>
          <a:spLocks noChangeArrowheads="1" noChangeShapeType="1" noTextEdit="1"/>
        </xdr:cNvSpPr>
      </xdr:nvSpPr>
      <xdr:spPr bwMode="auto">
        <a:xfrm>
          <a:off x="2181225" y="16078200"/>
          <a:ext cx="1952625" cy="581025"/>
        </a:xfrm>
        <a:prstGeom prst="rect">
          <a:avLst/>
        </a:prstGeom>
      </xdr:spPr>
      <xdr:txBody>
        <a:bodyPr wrap="none" fromWordArt="1">
          <a:prstTxWarp prst="textPlain">
            <a:avLst>
              <a:gd name="adj" fmla="val 50000"/>
            </a:avLst>
          </a:prstTxWarp>
        </a:bodyPr>
        <a:lstStyle/>
        <a:p>
          <a:pPr algn="ctr" rtl="0"/>
          <a:r>
            <a:rPr lang="el-GR" sz="3600" kern="10" spc="0">
              <a:ln w="9525">
                <a:solidFill>
                  <a:srgbClr val="000000"/>
                </a:solidFill>
                <a:round/>
                <a:headEnd/>
                <a:tailEnd/>
              </a:ln>
              <a:solidFill>
                <a:srgbClr val="FF6600"/>
              </a:solidFill>
              <a:effectLst/>
              <a:latin typeface="Arial Black"/>
            </a:rPr>
            <a:t>Άσκηση 1</a:t>
          </a:r>
          <a:endParaRPr lang="en-GB" sz="3600" kern="10" spc="0">
            <a:ln w="9525">
              <a:solidFill>
                <a:srgbClr val="000000"/>
              </a:solidFill>
              <a:round/>
              <a:headEnd/>
              <a:tailEnd/>
            </a:ln>
            <a:solidFill>
              <a:srgbClr val="FF6600"/>
            </a:solidFill>
            <a:effectLst/>
            <a:latin typeface="Arial Black"/>
          </a:endParaRPr>
        </a:p>
      </xdr:txBody>
    </xdr:sp>
    <xdr:clientData/>
  </xdr:twoCellAnchor>
  <xdr:twoCellAnchor>
    <xdr:from>
      <xdr:col>2</xdr:col>
      <xdr:colOff>133350</xdr:colOff>
      <xdr:row>56</xdr:row>
      <xdr:rowOff>47625</xdr:rowOff>
    </xdr:from>
    <xdr:to>
      <xdr:col>3</xdr:col>
      <xdr:colOff>342900</xdr:colOff>
      <xdr:row>60</xdr:row>
      <xdr:rowOff>142875</xdr:rowOff>
    </xdr:to>
    <xdr:sp macro="" textlink="">
      <xdr:nvSpPr>
        <xdr:cNvPr id="85024" name="AutoShape 32"/>
        <xdr:cNvSpPr>
          <a:spLocks noChangeArrowheads="1"/>
        </xdr:cNvSpPr>
      </xdr:nvSpPr>
      <xdr:spPr bwMode="auto">
        <a:xfrm>
          <a:off x="1504950" y="20726400"/>
          <a:ext cx="895350" cy="1485900"/>
        </a:xfrm>
        <a:prstGeom prst="wedgeRectCallout">
          <a:avLst>
            <a:gd name="adj1" fmla="val -67023"/>
            <a:gd name="adj2" fmla="val -22435"/>
          </a:avLst>
        </a:prstGeom>
        <a:solidFill>
          <a:srgbClr val="00CCFF"/>
        </a:solidFill>
        <a:ln w="9525">
          <a:solidFill>
            <a:srgbClr val="000000"/>
          </a:solidFill>
          <a:miter lim="800000"/>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Γράψε το μεικτό στα κίτρινα κουτάκια.</a:t>
          </a:r>
        </a:p>
      </xdr:txBody>
    </xdr:sp>
    <xdr:clientData/>
  </xdr:twoCellAnchor>
  <xdr:twoCellAnchor>
    <xdr:from>
      <xdr:col>0</xdr:col>
      <xdr:colOff>571500</xdr:colOff>
      <xdr:row>61</xdr:row>
      <xdr:rowOff>504825</xdr:rowOff>
    </xdr:from>
    <xdr:to>
      <xdr:col>1</xdr:col>
      <xdr:colOff>609600</xdr:colOff>
      <xdr:row>61</xdr:row>
      <xdr:rowOff>971550</xdr:rowOff>
    </xdr:to>
    <xdr:pic>
      <xdr:nvPicPr>
        <xdr:cNvPr id="85751" name="Picture 33" descr="http://www.olympiafest.gr/images/films/cirkeline3.jpg"/>
        <xdr:cNvPicPr>
          <a:picLocks noChangeAspect="1" noChangeArrowheads="1"/>
        </xdr:cNvPicPr>
      </xdr:nvPicPr>
      <xdr:blipFill>
        <a:blip xmlns:r="http://schemas.openxmlformats.org/officeDocument/2006/relationships" r:embed="rId4" r:link="rId5" cstate="print"/>
        <a:srcRect/>
        <a:stretch>
          <a:fillRect/>
        </a:stretch>
      </xdr:blipFill>
      <xdr:spPr bwMode="auto">
        <a:xfrm>
          <a:off x="571500" y="22860000"/>
          <a:ext cx="723900" cy="466725"/>
        </a:xfrm>
        <a:prstGeom prst="rect">
          <a:avLst/>
        </a:prstGeom>
        <a:noFill/>
        <a:ln w="9525">
          <a:noFill/>
          <a:miter lim="800000"/>
          <a:headEnd/>
          <a:tailEnd/>
        </a:ln>
      </xdr:spPr>
    </xdr:pic>
    <xdr:clientData/>
  </xdr:twoCellAnchor>
  <xdr:twoCellAnchor>
    <xdr:from>
      <xdr:col>3</xdr:col>
      <xdr:colOff>419100</xdr:colOff>
      <xdr:row>55</xdr:row>
      <xdr:rowOff>200025</xdr:rowOff>
    </xdr:from>
    <xdr:to>
      <xdr:col>4</xdr:col>
      <xdr:colOff>523875</xdr:colOff>
      <xdr:row>60</xdr:row>
      <xdr:rowOff>209550</xdr:rowOff>
    </xdr:to>
    <xdr:sp macro="" textlink="">
      <xdr:nvSpPr>
        <xdr:cNvPr id="85026" name="AutoShape 34"/>
        <xdr:cNvSpPr>
          <a:spLocks noChangeArrowheads="1"/>
        </xdr:cNvSpPr>
      </xdr:nvSpPr>
      <xdr:spPr bwMode="auto">
        <a:xfrm>
          <a:off x="2476500" y="20593050"/>
          <a:ext cx="790575" cy="1685925"/>
        </a:xfrm>
        <a:prstGeom prst="wedgeRectCallout">
          <a:avLst>
            <a:gd name="adj1" fmla="val 70481"/>
            <a:gd name="adj2" fmla="val -2542"/>
          </a:avLst>
        </a:prstGeom>
        <a:solidFill>
          <a:srgbClr val="00CCFF"/>
        </a:solidFill>
        <a:ln w="9525">
          <a:solidFill>
            <a:srgbClr val="000000"/>
          </a:solidFill>
          <a:miter lim="800000"/>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Γράψε το δεκαδικό στο καφέ κουτάκι.</a:t>
          </a:r>
        </a:p>
      </xdr:txBody>
    </xdr:sp>
    <xdr:clientData/>
  </xdr:twoCellAnchor>
  <xdr:twoCellAnchor>
    <xdr:from>
      <xdr:col>3</xdr:col>
      <xdr:colOff>123825</xdr:colOff>
      <xdr:row>51</xdr:row>
      <xdr:rowOff>219075</xdr:rowOff>
    </xdr:from>
    <xdr:to>
      <xdr:col>6</xdr:col>
      <xdr:colOff>19050</xdr:colOff>
      <xdr:row>53</xdr:row>
      <xdr:rowOff>228600</xdr:rowOff>
    </xdr:to>
    <xdr:sp macro="" textlink="">
      <xdr:nvSpPr>
        <xdr:cNvPr id="85027" name="WordArt 35"/>
        <xdr:cNvSpPr>
          <a:spLocks noChangeArrowheads="1" noChangeShapeType="1" noTextEdit="1"/>
        </xdr:cNvSpPr>
      </xdr:nvSpPr>
      <xdr:spPr bwMode="auto">
        <a:xfrm>
          <a:off x="2181225" y="19469100"/>
          <a:ext cx="1952625" cy="581025"/>
        </a:xfrm>
        <a:prstGeom prst="rect">
          <a:avLst/>
        </a:prstGeom>
      </xdr:spPr>
      <xdr:txBody>
        <a:bodyPr wrap="none" fromWordArt="1">
          <a:prstTxWarp prst="textPlain">
            <a:avLst>
              <a:gd name="adj" fmla="val 50000"/>
            </a:avLst>
          </a:prstTxWarp>
        </a:bodyPr>
        <a:lstStyle/>
        <a:p>
          <a:pPr algn="ctr" rtl="0"/>
          <a:r>
            <a:rPr lang="el-GR" sz="3600" kern="10" spc="0">
              <a:ln w="9525">
                <a:solidFill>
                  <a:srgbClr val="000000"/>
                </a:solidFill>
                <a:round/>
                <a:headEnd/>
                <a:tailEnd/>
              </a:ln>
              <a:solidFill>
                <a:srgbClr val="FF6600"/>
              </a:solidFill>
              <a:effectLst/>
              <a:latin typeface="Arial Black"/>
            </a:rPr>
            <a:t>Άσκηση 2</a:t>
          </a:r>
          <a:endParaRPr lang="en-GB" sz="3600" kern="10" spc="0">
            <a:ln w="9525">
              <a:solidFill>
                <a:srgbClr val="000000"/>
              </a:solidFill>
              <a:round/>
              <a:headEnd/>
              <a:tailEnd/>
            </a:ln>
            <a:solidFill>
              <a:srgbClr val="FF6600"/>
            </a:solidFill>
            <a:effectLst/>
            <a:latin typeface="Arial Black"/>
          </a:endParaRPr>
        </a:p>
      </xdr:txBody>
    </xdr:sp>
    <xdr:clientData/>
  </xdr:twoCellAnchor>
  <xdr:twoCellAnchor>
    <xdr:from>
      <xdr:col>0</xdr:col>
      <xdr:colOff>428625</xdr:colOff>
      <xdr:row>61</xdr:row>
      <xdr:rowOff>76200</xdr:rowOff>
    </xdr:from>
    <xdr:to>
      <xdr:col>9</xdr:col>
      <xdr:colOff>409575</xdr:colOff>
      <xdr:row>61</xdr:row>
      <xdr:rowOff>352425</xdr:rowOff>
    </xdr:to>
    <xdr:sp macro="" textlink="">
      <xdr:nvSpPr>
        <xdr:cNvPr id="85029" name="AutoShape 37"/>
        <xdr:cNvSpPr>
          <a:spLocks noChangeArrowheads="1"/>
        </xdr:cNvSpPr>
      </xdr:nvSpPr>
      <xdr:spPr bwMode="auto">
        <a:xfrm>
          <a:off x="428625" y="22431375"/>
          <a:ext cx="6153150" cy="276225"/>
        </a:xfrm>
        <a:prstGeom prst="wedgeRectCallout">
          <a:avLst>
            <a:gd name="adj1" fmla="val -2745"/>
            <a:gd name="adj2" fmla="val 112069"/>
          </a:avLst>
        </a:prstGeom>
        <a:solidFill>
          <a:srgbClr val="00CCFF"/>
        </a:solidFill>
        <a:ln w="9525">
          <a:solidFill>
            <a:srgbClr val="000000"/>
          </a:solidFill>
          <a:miter lim="800000"/>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Να οι ακέραιες μονάδες που έχει το κλάσμα που έγραψες.</a:t>
          </a:r>
        </a:p>
      </xdr:txBody>
    </xdr:sp>
    <xdr:clientData/>
  </xdr:twoCellAnchor>
  <xdr:twoCellAnchor>
    <xdr:from>
      <xdr:col>4</xdr:col>
      <xdr:colOff>276225</xdr:colOff>
      <xdr:row>65</xdr:row>
      <xdr:rowOff>104775</xdr:rowOff>
    </xdr:from>
    <xdr:to>
      <xdr:col>8</xdr:col>
      <xdr:colOff>85725</xdr:colOff>
      <xdr:row>67</xdr:row>
      <xdr:rowOff>161925</xdr:rowOff>
    </xdr:to>
    <xdr:sp macro="" textlink="">
      <xdr:nvSpPr>
        <xdr:cNvPr id="85030" name="AutoShape 38">
          <a:hlinkClick xmlns:r="http://schemas.openxmlformats.org/officeDocument/2006/relationships" r:id="rId9"/>
        </xdr:cNvPr>
        <xdr:cNvSpPr>
          <a:spLocks noChangeArrowheads="1"/>
        </xdr:cNvSpPr>
      </xdr:nvSpPr>
      <xdr:spPr bwMode="auto">
        <a:xfrm>
          <a:off x="3019425" y="29384625"/>
          <a:ext cx="2552700" cy="6286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ΕΠΙΣΤΡΟΦΗ</a:t>
          </a:r>
        </a:p>
      </xdr:txBody>
    </xdr:sp>
    <xdr:clientData/>
  </xdr:twoCellAnchor>
  <xdr:twoCellAnchor>
    <xdr:from>
      <xdr:col>7</xdr:col>
      <xdr:colOff>533400</xdr:colOff>
      <xdr:row>56</xdr:row>
      <xdr:rowOff>133350</xdr:rowOff>
    </xdr:from>
    <xdr:to>
      <xdr:col>9</xdr:col>
      <xdr:colOff>438150</xdr:colOff>
      <xdr:row>60</xdr:row>
      <xdr:rowOff>228600</xdr:rowOff>
    </xdr:to>
    <xdr:graphicFrame macro="">
      <xdr:nvGraphicFramePr>
        <xdr:cNvPr id="85756"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400050</xdr:colOff>
      <xdr:row>13</xdr:row>
      <xdr:rowOff>238125</xdr:rowOff>
    </xdr:from>
    <xdr:to>
      <xdr:col>6</xdr:col>
      <xdr:colOff>447675</xdr:colOff>
      <xdr:row>21</xdr:row>
      <xdr:rowOff>238125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18</xdr:row>
      <xdr:rowOff>0</xdr:rowOff>
    </xdr:from>
    <xdr:to>
      <xdr:col>14</xdr:col>
      <xdr:colOff>104775</xdr:colOff>
      <xdr:row>19</xdr:row>
      <xdr:rowOff>171450</xdr:rowOff>
    </xdr:to>
    <xdr:sp macro="" textlink="">
      <xdr:nvSpPr>
        <xdr:cNvPr id="68609" name="WordArt 1"/>
        <xdr:cNvSpPr>
          <a:spLocks noChangeArrowheads="1" noChangeShapeType="1" noTextEdit="1"/>
        </xdr:cNvSpPr>
      </xdr:nvSpPr>
      <xdr:spPr bwMode="auto">
        <a:xfrm>
          <a:off x="1838325" y="4676775"/>
          <a:ext cx="1524000" cy="3429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1η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0</xdr:col>
      <xdr:colOff>428625</xdr:colOff>
      <xdr:row>0</xdr:row>
      <xdr:rowOff>123825</xdr:rowOff>
    </xdr:from>
    <xdr:to>
      <xdr:col>27</xdr:col>
      <xdr:colOff>38100</xdr:colOff>
      <xdr:row>1</xdr:row>
      <xdr:rowOff>19050</xdr:rowOff>
    </xdr:to>
    <xdr:sp macro="" textlink="">
      <xdr:nvSpPr>
        <xdr:cNvPr id="68610" name="WordArt 2"/>
        <xdr:cNvSpPr>
          <a:spLocks noChangeArrowheads="1" noChangeShapeType="1" noTextEdit="1"/>
        </xdr:cNvSpPr>
      </xdr:nvSpPr>
      <xdr:spPr bwMode="auto">
        <a:xfrm>
          <a:off x="428625" y="123825"/>
          <a:ext cx="4972050" cy="4953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Μετατροπή κλάσματος σε δεκαδικό</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28</xdr:col>
      <xdr:colOff>47625</xdr:colOff>
      <xdr:row>0</xdr:row>
      <xdr:rowOff>247650</xdr:rowOff>
    </xdr:from>
    <xdr:to>
      <xdr:col>37</xdr:col>
      <xdr:colOff>123825</xdr:colOff>
      <xdr:row>0</xdr:row>
      <xdr:rowOff>542925</xdr:rowOff>
    </xdr:to>
    <xdr:sp macro="" textlink="">
      <xdr:nvSpPr>
        <xdr:cNvPr id="68611" name="AutoShape 3">
          <a:hlinkClick xmlns:r="http://schemas.openxmlformats.org/officeDocument/2006/relationships" r:id="rId1"/>
        </xdr:cNvPr>
        <xdr:cNvSpPr>
          <a:spLocks noChangeArrowheads="1"/>
        </xdr:cNvSpPr>
      </xdr:nvSpPr>
      <xdr:spPr bwMode="auto">
        <a:xfrm>
          <a:off x="5572125" y="247650"/>
          <a:ext cx="1533525" cy="295275"/>
        </a:xfrm>
        <a:prstGeom prst="ribbon">
          <a:avLst>
            <a:gd name="adj1" fmla="val 12500"/>
            <a:gd name="adj2" fmla="val 50000"/>
          </a:avLst>
        </a:prstGeom>
        <a:solidFill>
          <a:srgbClr val="FF0000"/>
        </a:solidFill>
        <a:ln w="9525">
          <a:solidFill>
            <a:srgbClr val="000000"/>
          </a:solidFill>
          <a:round/>
          <a:headEnd/>
          <a:tailEnd/>
        </a:ln>
      </xdr:spPr>
      <xdr:txBody>
        <a:bodyPr vertOverflow="clip" wrap="square" lIns="27432" tIns="27432" rIns="0" bIns="0" anchor="t" upright="1"/>
        <a:lstStyle/>
        <a:p>
          <a:pPr algn="l" rtl="0">
            <a:defRPr sz="1000"/>
          </a:pPr>
          <a:r>
            <a:rPr lang="el-GR" sz="900" b="1" i="0" strike="noStrike">
              <a:solidFill>
                <a:srgbClr val="000000"/>
              </a:solidFill>
              <a:latin typeface="Comic Sans MS"/>
            </a:rPr>
            <a:t>ΕΠΙΣΤΡΟΦΗ</a:t>
          </a:r>
        </a:p>
      </xdr:txBody>
    </xdr:sp>
    <xdr:clientData/>
  </xdr:twoCellAnchor>
  <xdr:twoCellAnchor>
    <xdr:from>
      <xdr:col>16</xdr:col>
      <xdr:colOff>28575</xdr:colOff>
      <xdr:row>18</xdr:row>
      <xdr:rowOff>66675</xdr:rowOff>
    </xdr:from>
    <xdr:to>
      <xdr:col>25</xdr:col>
      <xdr:colOff>142875</xdr:colOff>
      <xdr:row>20</xdr:row>
      <xdr:rowOff>47625</xdr:rowOff>
    </xdr:to>
    <xdr:sp macro="" textlink="">
      <xdr:nvSpPr>
        <xdr:cNvPr id="68612" name="WordArt 4"/>
        <xdr:cNvSpPr>
          <a:spLocks noChangeArrowheads="1" noChangeShapeType="1" noTextEdit="1"/>
        </xdr:cNvSpPr>
      </xdr:nvSpPr>
      <xdr:spPr bwMode="auto">
        <a:xfrm>
          <a:off x="3609975" y="4743450"/>
          <a:ext cx="1571625" cy="3429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2η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27</xdr:col>
      <xdr:colOff>28575</xdr:colOff>
      <xdr:row>18</xdr:row>
      <xdr:rowOff>66675</xdr:rowOff>
    </xdr:from>
    <xdr:to>
      <xdr:col>36</xdr:col>
      <xdr:colOff>142875</xdr:colOff>
      <xdr:row>20</xdr:row>
      <xdr:rowOff>47625</xdr:rowOff>
    </xdr:to>
    <xdr:sp macro="" textlink="">
      <xdr:nvSpPr>
        <xdr:cNvPr id="68613" name="WordArt 5"/>
        <xdr:cNvSpPr>
          <a:spLocks noChangeArrowheads="1" noChangeShapeType="1" noTextEdit="1"/>
        </xdr:cNvSpPr>
      </xdr:nvSpPr>
      <xdr:spPr bwMode="auto">
        <a:xfrm>
          <a:off x="5391150" y="4743450"/>
          <a:ext cx="1571625" cy="3429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3η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xdr:col>
      <xdr:colOff>304800</xdr:colOff>
      <xdr:row>1</xdr:row>
      <xdr:rowOff>28575</xdr:rowOff>
    </xdr:from>
    <xdr:to>
      <xdr:col>26</xdr:col>
      <xdr:colOff>38100</xdr:colOff>
      <xdr:row>1</xdr:row>
      <xdr:rowOff>400050</xdr:rowOff>
    </xdr:to>
    <xdr:sp macro="" textlink="">
      <xdr:nvSpPr>
        <xdr:cNvPr id="68615" name="WordArt 7"/>
        <xdr:cNvSpPr>
          <a:spLocks noChangeArrowheads="1" noChangeShapeType="1" noTextEdit="1"/>
        </xdr:cNvSpPr>
      </xdr:nvSpPr>
      <xdr:spPr bwMode="auto">
        <a:xfrm>
          <a:off x="762000" y="628650"/>
          <a:ext cx="4476750" cy="3714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με τη βοήθεια επιφάνειας</a:t>
          </a:r>
          <a:r>
            <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 (2)</a:t>
          </a:r>
        </a:p>
      </xdr:txBody>
    </xdr:sp>
    <xdr:clientData/>
  </xdr:twoCellAnchor>
  <xdr:twoCellAnchor>
    <xdr:from>
      <xdr:col>0</xdr:col>
      <xdr:colOff>114300</xdr:colOff>
      <xdr:row>98</xdr:row>
      <xdr:rowOff>47625</xdr:rowOff>
    </xdr:from>
    <xdr:to>
      <xdr:col>36</xdr:col>
      <xdr:colOff>104775</xdr:colOff>
      <xdr:row>99</xdr:row>
      <xdr:rowOff>47625</xdr:rowOff>
    </xdr:to>
    <xdr:sp macro="" textlink="">
      <xdr:nvSpPr>
        <xdr:cNvPr id="68616" name="WordArt 8"/>
        <xdr:cNvSpPr>
          <a:spLocks noChangeArrowheads="1" noChangeShapeType="1" noTextEdit="1"/>
        </xdr:cNvSpPr>
      </xdr:nvSpPr>
      <xdr:spPr bwMode="auto">
        <a:xfrm>
          <a:off x="114300" y="19688175"/>
          <a:ext cx="6810375" cy="485775"/>
        </a:xfrm>
        <a:prstGeom prst="rect">
          <a:avLst/>
        </a:prstGeom>
      </xdr:spPr>
      <xdr:txBody>
        <a:bodyPr wrap="none" fromWordArt="1">
          <a:prstTxWarp prst="textPlain">
            <a:avLst>
              <a:gd name="adj" fmla="val 50000"/>
            </a:avLst>
          </a:prstTxWarp>
        </a:bodyPr>
        <a:lstStyle/>
        <a:p>
          <a:pPr algn="ctr" rtl="0"/>
          <a:r>
            <a:rPr lang="el-GR" sz="18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Για εξάσκηση στη μετατροπή κλάσματος σε δεκαδικό πάτησε εδώ.</a:t>
          </a:r>
          <a:endParaRPr lang="en-GB" sz="18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0</xdr:col>
      <xdr:colOff>0</xdr:colOff>
      <xdr:row>99</xdr:row>
      <xdr:rowOff>180975</xdr:rowOff>
    </xdr:from>
    <xdr:to>
      <xdr:col>7</xdr:col>
      <xdr:colOff>66675</xdr:colOff>
      <xdr:row>107</xdr:row>
      <xdr:rowOff>400050</xdr:rowOff>
    </xdr:to>
    <xdr:pic>
      <xdr:nvPicPr>
        <xdr:cNvPr id="68937" name="Picture 9" descr="inventor.gif - 5206 Bytes"/>
        <xdr:cNvPicPr>
          <a:picLocks noChangeAspect="1" noChangeArrowheads="1" noCrop="1"/>
        </xdr:cNvPicPr>
      </xdr:nvPicPr>
      <xdr:blipFill>
        <a:blip xmlns:r="http://schemas.openxmlformats.org/officeDocument/2006/relationships" r:embed="rId2" cstate="print"/>
        <a:srcRect/>
        <a:stretch>
          <a:fillRect/>
        </a:stretch>
      </xdr:blipFill>
      <xdr:spPr bwMode="auto">
        <a:xfrm>
          <a:off x="0" y="20307300"/>
          <a:ext cx="2190750" cy="3305175"/>
        </a:xfrm>
        <a:prstGeom prst="rect">
          <a:avLst/>
        </a:prstGeom>
        <a:noFill/>
        <a:ln w="9525">
          <a:noFill/>
          <a:miter lim="800000"/>
          <a:headEnd/>
          <a:tailEnd/>
        </a:ln>
      </xdr:spPr>
    </xdr:pic>
    <xdr:clientData/>
  </xdr:twoCellAnchor>
  <xdr:twoCellAnchor>
    <xdr:from>
      <xdr:col>10</xdr:col>
      <xdr:colOff>57150</xdr:colOff>
      <xdr:row>20</xdr:row>
      <xdr:rowOff>161925</xdr:rowOff>
    </xdr:from>
    <xdr:to>
      <xdr:col>22</xdr:col>
      <xdr:colOff>38100</xdr:colOff>
      <xdr:row>21</xdr:row>
      <xdr:rowOff>0</xdr:rowOff>
    </xdr:to>
    <xdr:sp macro="" textlink="">
      <xdr:nvSpPr>
        <xdr:cNvPr id="68618" name="WordArt 10"/>
        <xdr:cNvSpPr>
          <a:spLocks noChangeArrowheads="1" noChangeShapeType="1" noTextEdit="1"/>
        </xdr:cNvSpPr>
      </xdr:nvSpPr>
      <xdr:spPr bwMode="auto">
        <a:xfrm>
          <a:off x="2667000" y="5200650"/>
          <a:ext cx="1924050" cy="342900"/>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FF0000">
                  <a:alpha val="50000"/>
                </a:srgbClr>
              </a:solidFill>
              <a:effectLst>
                <a:outerShdw dist="45791" dir="2021404" algn="ctr" rotWithShape="0">
                  <a:srgbClr val="9999FF"/>
                </a:outerShdw>
              </a:effectLst>
              <a:latin typeface="Comic Sans MS"/>
            </a:rPr>
            <a:t>Ασκήσεις</a:t>
          </a:r>
          <a:endParaRPr lang="en-GB" sz="3600" b="1" kern="10" spc="0">
            <a:ln w="12700">
              <a:solidFill>
                <a:srgbClr val="3333CC"/>
              </a:solidFill>
              <a:round/>
              <a:headEnd/>
              <a:tailEnd/>
            </a:ln>
            <a:solidFill>
              <a:srgbClr val="FF0000">
                <a:alpha val="50000"/>
              </a:srgbClr>
            </a:solidFill>
            <a:effectLst>
              <a:outerShdw dist="45791" dir="2021404" algn="ctr" rotWithShape="0">
                <a:srgbClr val="9999FF"/>
              </a:outerShdw>
            </a:effectLst>
            <a:latin typeface="Comic Sans MS"/>
          </a:endParaRPr>
        </a:p>
      </xdr:txBody>
    </xdr:sp>
    <xdr:clientData/>
  </xdr:twoCellAnchor>
  <xdr:twoCellAnchor>
    <xdr:from>
      <xdr:col>0</xdr:col>
      <xdr:colOff>142875</xdr:colOff>
      <xdr:row>95</xdr:row>
      <xdr:rowOff>152400</xdr:rowOff>
    </xdr:from>
    <xdr:to>
      <xdr:col>6</xdr:col>
      <xdr:colOff>0</xdr:colOff>
      <xdr:row>97</xdr:row>
      <xdr:rowOff>104775</xdr:rowOff>
    </xdr:to>
    <xdr:sp macro="" textlink="">
      <xdr:nvSpPr>
        <xdr:cNvPr id="68620" name="WordArt 12"/>
        <xdr:cNvSpPr>
          <a:spLocks noChangeArrowheads="1" noChangeShapeType="1" noTextEdit="1"/>
        </xdr:cNvSpPr>
      </xdr:nvSpPr>
      <xdr:spPr bwMode="auto">
        <a:xfrm>
          <a:off x="142875" y="18773775"/>
          <a:ext cx="1819275" cy="5429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23</xdr:col>
      <xdr:colOff>9525</xdr:colOff>
      <xdr:row>103</xdr:row>
      <xdr:rowOff>123825</xdr:rowOff>
    </xdr:from>
    <xdr:to>
      <xdr:col>35</xdr:col>
      <xdr:colOff>152400</xdr:colOff>
      <xdr:row>103</xdr:row>
      <xdr:rowOff>457200</xdr:rowOff>
    </xdr:to>
    <xdr:sp macro="" textlink="">
      <xdr:nvSpPr>
        <xdr:cNvPr id="68621" name="AutoShape 13" descr="80%">
          <a:hlinkClick xmlns:r="http://schemas.openxmlformats.org/officeDocument/2006/relationships" r:id="rId3"/>
        </xdr:cNvPr>
        <xdr:cNvSpPr>
          <a:spLocks noChangeArrowheads="1"/>
        </xdr:cNvSpPr>
      </xdr:nvSpPr>
      <xdr:spPr bwMode="auto">
        <a:xfrm>
          <a:off x="4724400" y="21393150"/>
          <a:ext cx="2085975" cy="333375"/>
        </a:xfrm>
        <a:prstGeom prst="ribbon">
          <a:avLst>
            <a:gd name="adj1" fmla="val 12500"/>
            <a:gd name="adj2" fmla="val 50000"/>
          </a:avLst>
        </a:prstGeom>
        <a:pattFill prst="pct80">
          <a:fgClr>
            <a:srgbClr val="00CCFF"/>
          </a:fgClr>
          <a:bgClr>
            <a:srgbClr val="FFFFFF"/>
          </a:bgClr>
        </a:pattFill>
        <a:ln w="9525">
          <a:solidFill>
            <a:srgbClr val="000000"/>
          </a:solidFill>
          <a:round/>
          <a:headEnd/>
          <a:tailEnd/>
        </a:ln>
      </xdr:spPr>
      <xdr:txBody>
        <a:bodyPr vertOverflow="clip" wrap="square" lIns="36576" tIns="41148" rIns="0" bIns="0" anchor="t" upright="1"/>
        <a:lstStyle/>
        <a:p>
          <a:pPr algn="l" rtl="0">
            <a:defRPr sz="1000"/>
          </a:pPr>
          <a:r>
            <a:rPr lang="el-GR" sz="1200" b="1" i="0" strike="noStrike">
              <a:solidFill>
                <a:srgbClr val="000000"/>
              </a:solidFill>
              <a:latin typeface="Comic Sans MS"/>
            </a:rPr>
            <a:t>ΕΠΙΣΤΡΟΦΗ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7</xdr:row>
      <xdr:rowOff>66675</xdr:rowOff>
    </xdr:from>
    <xdr:to>
      <xdr:col>2</xdr:col>
      <xdr:colOff>361950</xdr:colOff>
      <xdr:row>8</xdr:row>
      <xdr:rowOff>209550</xdr:rowOff>
    </xdr:to>
    <xdr:sp macro="" textlink="">
      <xdr:nvSpPr>
        <xdr:cNvPr id="35841" name="Text Box 1"/>
        <xdr:cNvSpPr txBox="1">
          <a:spLocks noChangeArrowheads="1"/>
        </xdr:cNvSpPr>
      </xdr:nvSpPr>
      <xdr:spPr bwMode="auto">
        <a:xfrm>
          <a:off x="914400" y="25146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xdr:row>
      <xdr:rowOff>76200</xdr:rowOff>
    </xdr:from>
    <xdr:to>
      <xdr:col>4</xdr:col>
      <xdr:colOff>295275</xdr:colOff>
      <xdr:row>8</xdr:row>
      <xdr:rowOff>219075</xdr:rowOff>
    </xdr:to>
    <xdr:sp macro="" textlink="">
      <xdr:nvSpPr>
        <xdr:cNvPr id="35842" name="Text Box 2"/>
        <xdr:cNvSpPr txBox="1">
          <a:spLocks noChangeArrowheads="1"/>
        </xdr:cNvSpPr>
      </xdr:nvSpPr>
      <xdr:spPr bwMode="auto">
        <a:xfrm>
          <a:off x="1752600" y="2524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0</xdr:col>
      <xdr:colOff>219075</xdr:colOff>
      <xdr:row>0</xdr:row>
      <xdr:rowOff>104775</xdr:rowOff>
    </xdr:from>
    <xdr:to>
      <xdr:col>13</xdr:col>
      <xdr:colOff>104775</xdr:colOff>
      <xdr:row>0</xdr:row>
      <xdr:rowOff>571500</xdr:rowOff>
    </xdr:to>
    <xdr:sp macro="" textlink="">
      <xdr:nvSpPr>
        <xdr:cNvPr id="35843" name="WordArt 3" descr="90%"/>
        <xdr:cNvSpPr>
          <a:spLocks noChangeArrowheads="1" noChangeShapeType="1" noTextEdit="1"/>
        </xdr:cNvSpPr>
      </xdr:nvSpPr>
      <xdr:spPr bwMode="auto">
        <a:xfrm>
          <a:off x="219075" y="104775"/>
          <a:ext cx="4591050" cy="4667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pattFill prst="pct90">
                <a:fgClr>
                  <a:srgbClr val="FF0000"/>
                </a:fgClr>
                <a:bgClr>
                  <a:srgbClr val="FFFFFF"/>
                </a:bgClr>
              </a:pattFill>
              <a:effectLst>
                <a:outerShdw dist="45791" dir="2021404" algn="ctr" rotWithShape="0">
                  <a:srgbClr val="9999FF"/>
                </a:outerShdw>
              </a:effectLst>
              <a:latin typeface="Comic Sans MS"/>
            </a:rPr>
            <a:t>Μετατροπή κλάσματος σε ποσοστό</a:t>
          </a:r>
          <a:endParaRPr lang="en-GB" sz="3600" b="1" kern="10" spc="0">
            <a:ln w="12700">
              <a:solidFill>
                <a:srgbClr val="3333CC"/>
              </a:solidFill>
              <a:round/>
              <a:headEnd/>
              <a:tailEnd/>
            </a:ln>
            <a:pattFill prst="pct90">
              <a:fgClr>
                <a:srgbClr val="FF0000"/>
              </a:fgClr>
              <a:bgClr>
                <a:srgbClr val="FFFFFF"/>
              </a:bgClr>
            </a:pattFill>
            <a:effectLst>
              <a:outerShdw dist="45791" dir="2021404" algn="ctr" rotWithShape="0">
                <a:srgbClr val="9999FF"/>
              </a:outerShdw>
            </a:effectLst>
            <a:latin typeface="Comic Sans MS"/>
          </a:endParaRPr>
        </a:p>
      </xdr:txBody>
    </xdr:sp>
    <xdr:clientData/>
  </xdr:twoCellAnchor>
  <xdr:twoCellAnchor>
    <xdr:from>
      <xdr:col>2</xdr:col>
      <xdr:colOff>104775</xdr:colOff>
      <xdr:row>11</xdr:row>
      <xdr:rowOff>66675</xdr:rowOff>
    </xdr:from>
    <xdr:to>
      <xdr:col>2</xdr:col>
      <xdr:colOff>361950</xdr:colOff>
      <xdr:row>12</xdr:row>
      <xdr:rowOff>209550</xdr:rowOff>
    </xdr:to>
    <xdr:sp macro="" textlink="">
      <xdr:nvSpPr>
        <xdr:cNvPr id="35844" name="Text Box 4"/>
        <xdr:cNvSpPr txBox="1">
          <a:spLocks noChangeArrowheads="1"/>
        </xdr:cNvSpPr>
      </xdr:nvSpPr>
      <xdr:spPr bwMode="auto">
        <a:xfrm>
          <a:off x="914400" y="35242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11</xdr:row>
      <xdr:rowOff>76200</xdr:rowOff>
    </xdr:from>
    <xdr:to>
      <xdr:col>4</xdr:col>
      <xdr:colOff>295275</xdr:colOff>
      <xdr:row>12</xdr:row>
      <xdr:rowOff>219075</xdr:rowOff>
    </xdr:to>
    <xdr:sp macro="" textlink="">
      <xdr:nvSpPr>
        <xdr:cNvPr id="35845" name="Text Box 5"/>
        <xdr:cNvSpPr txBox="1">
          <a:spLocks noChangeArrowheads="1"/>
        </xdr:cNvSpPr>
      </xdr:nvSpPr>
      <xdr:spPr bwMode="auto">
        <a:xfrm>
          <a:off x="1752600" y="35337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15</xdr:row>
      <xdr:rowOff>66675</xdr:rowOff>
    </xdr:from>
    <xdr:to>
      <xdr:col>2</xdr:col>
      <xdr:colOff>361950</xdr:colOff>
      <xdr:row>16</xdr:row>
      <xdr:rowOff>209550</xdr:rowOff>
    </xdr:to>
    <xdr:sp macro="" textlink="">
      <xdr:nvSpPr>
        <xdr:cNvPr id="35846" name="Text Box 6"/>
        <xdr:cNvSpPr txBox="1">
          <a:spLocks noChangeArrowheads="1"/>
        </xdr:cNvSpPr>
      </xdr:nvSpPr>
      <xdr:spPr bwMode="auto">
        <a:xfrm>
          <a:off x="914400" y="45339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15</xdr:row>
      <xdr:rowOff>76200</xdr:rowOff>
    </xdr:from>
    <xdr:to>
      <xdr:col>4</xdr:col>
      <xdr:colOff>295275</xdr:colOff>
      <xdr:row>16</xdr:row>
      <xdr:rowOff>219075</xdr:rowOff>
    </xdr:to>
    <xdr:sp macro="" textlink="">
      <xdr:nvSpPr>
        <xdr:cNvPr id="35847" name="Text Box 7"/>
        <xdr:cNvSpPr txBox="1">
          <a:spLocks noChangeArrowheads="1"/>
        </xdr:cNvSpPr>
      </xdr:nvSpPr>
      <xdr:spPr bwMode="auto">
        <a:xfrm>
          <a:off x="1752600" y="45434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36</xdr:row>
      <xdr:rowOff>66675</xdr:rowOff>
    </xdr:from>
    <xdr:to>
      <xdr:col>2</xdr:col>
      <xdr:colOff>361950</xdr:colOff>
      <xdr:row>37</xdr:row>
      <xdr:rowOff>209550</xdr:rowOff>
    </xdr:to>
    <xdr:sp macro="" textlink="">
      <xdr:nvSpPr>
        <xdr:cNvPr id="35848" name="Text Box 8"/>
        <xdr:cNvSpPr txBox="1">
          <a:spLocks noChangeArrowheads="1"/>
        </xdr:cNvSpPr>
      </xdr:nvSpPr>
      <xdr:spPr bwMode="auto">
        <a:xfrm>
          <a:off x="914400" y="101155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45</xdr:row>
      <xdr:rowOff>66675</xdr:rowOff>
    </xdr:from>
    <xdr:to>
      <xdr:col>2</xdr:col>
      <xdr:colOff>361950</xdr:colOff>
      <xdr:row>46</xdr:row>
      <xdr:rowOff>209550</xdr:rowOff>
    </xdr:to>
    <xdr:sp macro="" textlink="">
      <xdr:nvSpPr>
        <xdr:cNvPr id="35849" name="Text Box 9"/>
        <xdr:cNvSpPr txBox="1">
          <a:spLocks noChangeArrowheads="1"/>
        </xdr:cNvSpPr>
      </xdr:nvSpPr>
      <xdr:spPr bwMode="auto">
        <a:xfrm>
          <a:off x="914400" y="125349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54</xdr:row>
      <xdr:rowOff>66675</xdr:rowOff>
    </xdr:from>
    <xdr:to>
      <xdr:col>2</xdr:col>
      <xdr:colOff>361950</xdr:colOff>
      <xdr:row>55</xdr:row>
      <xdr:rowOff>209550</xdr:rowOff>
    </xdr:to>
    <xdr:sp macro="" textlink="">
      <xdr:nvSpPr>
        <xdr:cNvPr id="35850" name="Text Box 10"/>
        <xdr:cNvSpPr txBox="1">
          <a:spLocks noChangeArrowheads="1"/>
        </xdr:cNvSpPr>
      </xdr:nvSpPr>
      <xdr:spPr bwMode="auto">
        <a:xfrm>
          <a:off x="914400" y="157924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285750</xdr:colOff>
      <xdr:row>64</xdr:row>
      <xdr:rowOff>123825</xdr:rowOff>
    </xdr:from>
    <xdr:to>
      <xdr:col>12</xdr:col>
      <xdr:colOff>9525</xdr:colOff>
      <xdr:row>66</xdr:row>
      <xdr:rowOff>28575</xdr:rowOff>
    </xdr:to>
    <xdr:sp macro="" textlink="">
      <xdr:nvSpPr>
        <xdr:cNvPr id="35851" name="WordArt 11"/>
        <xdr:cNvSpPr>
          <a:spLocks noChangeArrowheads="1" noChangeShapeType="1" noTextEdit="1"/>
        </xdr:cNvSpPr>
      </xdr:nvSpPr>
      <xdr:spPr bwMode="auto">
        <a:xfrm>
          <a:off x="1990725" y="18478500"/>
          <a:ext cx="2466975" cy="7810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Ασκήσεις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104775</xdr:colOff>
      <xdr:row>70</xdr:row>
      <xdr:rowOff>66675</xdr:rowOff>
    </xdr:from>
    <xdr:to>
      <xdr:col>2</xdr:col>
      <xdr:colOff>361950</xdr:colOff>
      <xdr:row>71</xdr:row>
      <xdr:rowOff>209550</xdr:rowOff>
    </xdr:to>
    <xdr:sp macro="" textlink="">
      <xdr:nvSpPr>
        <xdr:cNvPr id="35852" name="Text Box 12"/>
        <xdr:cNvSpPr txBox="1">
          <a:spLocks noChangeArrowheads="1"/>
        </xdr:cNvSpPr>
      </xdr:nvSpPr>
      <xdr:spPr bwMode="auto">
        <a:xfrm>
          <a:off x="914400" y="205930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70</xdr:row>
      <xdr:rowOff>76200</xdr:rowOff>
    </xdr:from>
    <xdr:to>
      <xdr:col>4</xdr:col>
      <xdr:colOff>295275</xdr:colOff>
      <xdr:row>71</xdr:row>
      <xdr:rowOff>219075</xdr:rowOff>
    </xdr:to>
    <xdr:sp macro="" textlink="">
      <xdr:nvSpPr>
        <xdr:cNvPr id="35853" name="Text Box 13"/>
        <xdr:cNvSpPr txBox="1">
          <a:spLocks noChangeArrowheads="1"/>
        </xdr:cNvSpPr>
      </xdr:nvSpPr>
      <xdr:spPr bwMode="auto">
        <a:xfrm>
          <a:off x="1752600" y="206025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74</xdr:row>
      <xdr:rowOff>66675</xdr:rowOff>
    </xdr:from>
    <xdr:to>
      <xdr:col>2</xdr:col>
      <xdr:colOff>361950</xdr:colOff>
      <xdr:row>75</xdr:row>
      <xdr:rowOff>209550</xdr:rowOff>
    </xdr:to>
    <xdr:sp macro="" textlink="">
      <xdr:nvSpPr>
        <xdr:cNvPr id="35854" name="Text Box 14"/>
        <xdr:cNvSpPr txBox="1">
          <a:spLocks noChangeArrowheads="1"/>
        </xdr:cNvSpPr>
      </xdr:nvSpPr>
      <xdr:spPr bwMode="auto">
        <a:xfrm>
          <a:off x="914400" y="217360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74</xdr:row>
      <xdr:rowOff>76200</xdr:rowOff>
    </xdr:from>
    <xdr:to>
      <xdr:col>4</xdr:col>
      <xdr:colOff>295275</xdr:colOff>
      <xdr:row>75</xdr:row>
      <xdr:rowOff>219075</xdr:rowOff>
    </xdr:to>
    <xdr:sp macro="" textlink="">
      <xdr:nvSpPr>
        <xdr:cNvPr id="35855" name="Text Box 15"/>
        <xdr:cNvSpPr txBox="1">
          <a:spLocks noChangeArrowheads="1"/>
        </xdr:cNvSpPr>
      </xdr:nvSpPr>
      <xdr:spPr bwMode="auto">
        <a:xfrm>
          <a:off x="1752600" y="2174557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78</xdr:row>
      <xdr:rowOff>66675</xdr:rowOff>
    </xdr:from>
    <xdr:to>
      <xdr:col>2</xdr:col>
      <xdr:colOff>361950</xdr:colOff>
      <xdr:row>79</xdr:row>
      <xdr:rowOff>209550</xdr:rowOff>
    </xdr:to>
    <xdr:sp macro="" textlink="">
      <xdr:nvSpPr>
        <xdr:cNvPr id="35856" name="Text Box 16"/>
        <xdr:cNvSpPr txBox="1">
          <a:spLocks noChangeArrowheads="1"/>
        </xdr:cNvSpPr>
      </xdr:nvSpPr>
      <xdr:spPr bwMode="auto">
        <a:xfrm>
          <a:off x="914400" y="227647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78</xdr:row>
      <xdr:rowOff>76200</xdr:rowOff>
    </xdr:from>
    <xdr:to>
      <xdr:col>4</xdr:col>
      <xdr:colOff>295275</xdr:colOff>
      <xdr:row>79</xdr:row>
      <xdr:rowOff>219075</xdr:rowOff>
    </xdr:to>
    <xdr:sp macro="" textlink="">
      <xdr:nvSpPr>
        <xdr:cNvPr id="35857" name="Text Box 17"/>
        <xdr:cNvSpPr txBox="1">
          <a:spLocks noChangeArrowheads="1"/>
        </xdr:cNvSpPr>
      </xdr:nvSpPr>
      <xdr:spPr bwMode="auto">
        <a:xfrm>
          <a:off x="1752600" y="22774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82</xdr:row>
      <xdr:rowOff>66675</xdr:rowOff>
    </xdr:from>
    <xdr:to>
      <xdr:col>2</xdr:col>
      <xdr:colOff>361950</xdr:colOff>
      <xdr:row>83</xdr:row>
      <xdr:rowOff>209550</xdr:rowOff>
    </xdr:to>
    <xdr:sp macro="" textlink="">
      <xdr:nvSpPr>
        <xdr:cNvPr id="35858" name="Text Box 18"/>
        <xdr:cNvSpPr txBox="1">
          <a:spLocks noChangeArrowheads="1"/>
        </xdr:cNvSpPr>
      </xdr:nvSpPr>
      <xdr:spPr bwMode="auto">
        <a:xfrm>
          <a:off x="914400" y="237744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82</xdr:row>
      <xdr:rowOff>76200</xdr:rowOff>
    </xdr:from>
    <xdr:to>
      <xdr:col>4</xdr:col>
      <xdr:colOff>295275</xdr:colOff>
      <xdr:row>83</xdr:row>
      <xdr:rowOff>219075</xdr:rowOff>
    </xdr:to>
    <xdr:sp macro="" textlink="">
      <xdr:nvSpPr>
        <xdr:cNvPr id="35859" name="Text Box 19"/>
        <xdr:cNvSpPr txBox="1">
          <a:spLocks noChangeArrowheads="1"/>
        </xdr:cNvSpPr>
      </xdr:nvSpPr>
      <xdr:spPr bwMode="auto">
        <a:xfrm>
          <a:off x="1752600" y="23783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86</xdr:row>
      <xdr:rowOff>66675</xdr:rowOff>
    </xdr:from>
    <xdr:to>
      <xdr:col>2</xdr:col>
      <xdr:colOff>361950</xdr:colOff>
      <xdr:row>87</xdr:row>
      <xdr:rowOff>209550</xdr:rowOff>
    </xdr:to>
    <xdr:sp macro="" textlink="">
      <xdr:nvSpPr>
        <xdr:cNvPr id="35860" name="Text Box 20"/>
        <xdr:cNvSpPr txBox="1">
          <a:spLocks noChangeArrowheads="1"/>
        </xdr:cNvSpPr>
      </xdr:nvSpPr>
      <xdr:spPr bwMode="auto">
        <a:xfrm>
          <a:off x="914400" y="247840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86</xdr:row>
      <xdr:rowOff>76200</xdr:rowOff>
    </xdr:from>
    <xdr:to>
      <xdr:col>4</xdr:col>
      <xdr:colOff>295275</xdr:colOff>
      <xdr:row>87</xdr:row>
      <xdr:rowOff>219075</xdr:rowOff>
    </xdr:to>
    <xdr:sp macro="" textlink="">
      <xdr:nvSpPr>
        <xdr:cNvPr id="35861" name="Text Box 21"/>
        <xdr:cNvSpPr txBox="1">
          <a:spLocks noChangeArrowheads="1"/>
        </xdr:cNvSpPr>
      </xdr:nvSpPr>
      <xdr:spPr bwMode="auto">
        <a:xfrm>
          <a:off x="1752600" y="247935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90</xdr:row>
      <xdr:rowOff>66675</xdr:rowOff>
    </xdr:from>
    <xdr:to>
      <xdr:col>2</xdr:col>
      <xdr:colOff>361950</xdr:colOff>
      <xdr:row>91</xdr:row>
      <xdr:rowOff>209550</xdr:rowOff>
    </xdr:to>
    <xdr:sp macro="" textlink="">
      <xdr:nvSpPr>
        <xdr:cNvPr id="35862" name="Text Box 22"/>
        <xdr:cNvSpPr txBox="1">
          <a:spLocks noChangeArrowheads="1"/>
        </xdr:cNvSpPr>
      </xdr:nvSpPr>
      <xdr:spPr bwMode="auto">
        <a:xfrm>
          <a:off x="914400" y="258413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90</xdr:row>
      <xdr:rowOff>76200</xdr:rowOff>
    </xdr:from>
    <xdr:to>
      <xdr:col>4</xdr:col>
      <xdr:colOff>295275</xdr:colOff>
      <xdr:row>91</xdr:row>
      <xdr:rowOff>219075</xdr:rowOff>
    </xdr:to>
    <xdr:sp macro="" textlink="">
      <xdr:nvSpPr>
        <xdr:cNvPr id="35863" name="Text Box 23"/>
        <xdr:cNvSpPr txBox="1">
          <a:spLocks noChangeArrowheads="1"/>
        </xdr:cNvSpPr>
      </xdr:nvSpPr>
      <xdr:spPr bwMode="auto">
        <a:xfrm>
          <a:off x="1752600" y="2585085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94</xdr:row>
      <xdr:rowOff>66675</xdr:rowOff>
    </xdr:from>
    <xdr:to>
      <xdr:col>2</xdr:col>
      <xdr:colOff>361950</xdr:colOff>
      <xdr:row>95</xdr:row>
      <xdr:rowOff>209550</xdr:rowOff>
    </xdr:to>
    <xdr:sp macro="" textlink="">
      <xdr:nvSpPr>
        <xdr:cNvPr id="35864" name="Text Box 24"/>
        <xdr:cNvSpPr txBox="1">
          <a:spLocks noChangeArrowheads="1"/>
        </xdr:cNvSpPr>
      </xdr:nvSpPr>
      <xdr:spPr bwMode="auto">
        <a:xfrm>
          <a:off x="914400" y="269557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94</xdr:row>
      <xdr:rowOff>76200</xdr:rowOff>
    </xdr:from>
    <xdr:to>
      <xdr:col>4</xdr:col>
      <xdr:colOff>295275</xdr:colOff>
      <xdr:row>95</xdr:row>
      <xdr:rowOff>219075</xdr:rowOff>
    </xdr:to>
    <xdr:sp macro="" textlink="">
      <xdr:nvSpPr>
        <xdr:cNvPr id="35865" name="Text Box 25"/>
        <xdr:cNvSpPr txBox="1">
          <a:spLocks noChangeArrowheads="1"/>
        </xdr:cNvSpPr>
      </xdr:nvSpPr>
      <xdr:spPr bwMode="auto">
        <a:xfrm>
          <a:off x="1752600" y="26965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98</xdr:row>
      <xdr:rowOff>66675</xdr:rowOff>
    </xdr:from>
    <xdr:to>
      <xdr:col>2</xdr:col>
      <xdr:colOff>361950</xdr:colOff>
      <xdr:row>99</xdr:row>
      <xdr:rowOff>209550</xdr:rowOff>
    </xdr:to>
    <xdr:sp macro="" textlink="">
      <xdr:nvSpPr>
        <xdr:cNvPr id="35866" name="Text Box 26"/>
        <xdr:cNvSpPr txBox="1">
          <a:spLocks noChangeArrowheads="1"/>
        </xdr:cNvSpPr>
      </xdr:nvSpPr>
      <xdr:spPr bwMode="auto">
        <a:xfrm>
          <a:off x="914400" y="279654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5867" name="Text Box 27"/>
        <xdr:cNvSpPr txBox="1">
          <a:spLocks noChangeArrowheads="1"/>
        </xdr:cNvSpPr>
      </xdr:nvSpPr>
      <xdr:spPr bwMode="auto">
        <a:xfrm>
          <a:off x="1752600" y="27974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102</xdr:row>
      <xdr:rowOff>66675</xdr:rowOff>
    </xdr:from>
    <xdr:to>
      <xdr:col>2</xdr:col>
      <xdr:colOff>361950</xdr:colOff>
      <xdr:row>103</xdr:row>
      <xdr:rowOff>209550</xdr:rowOff>
    </xdr:to>
    <xdr:sp macro="" textlink="">
      <xdr:nvSpPr>
        <xdr:cNvPr id="35868" name="Text Box 28"/>
        <xdr:cNvSpPr txBox="1">
          <a:spLocks noChangeArrowheads="1"/>
        </xdr:cNvSpPr>
      </xdr:nvSpPr>
      <xdr:spPr bwMode="auto">
        <a:xfrm>
          <a:off x="914400" y="291465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5869" name="Text Box 29"/>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106</xdr:row>
      <xdr:rowOff>66675</xdr:rowOff>
    </xdr:from>
    <xdr:to>
      <xdr:col>2</xdr:col>
      <xdr:colOff>361950</xdr:colOff>
      <xdr:row>107</xdr:row>
      <xdr:rowOff>209550</xdr:rowOff>
    </xdr:to>
    <xdr:sp macro="" textlink="">
      <xdr:nvSpPr>
        <xdr:cNvPr id="35870" name="Text Box 30"/>
        <xdr:cNvSpPr txBox="1">
          <a:spLocks noChangeArrowheads="1"/>
        </xdr:cNvSpPr>
      </xdr:nvSpPr>
      <xdr:spPr bwMode="auto">
        <a:xfrm>
          <a:off x="914400" y="301656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5871" name="Text Box 31"/>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25</xdr:row>
      <xdr:rowOff>66675</xdr:rowOff>
    </xdr:from>
    <xdr:to>
      <xdr:col>2</xdr:col>
      <xdr:colOff>361950</xdr:colOff>
      <xdr:row>26</xdr:row>
      <xdr:rowOff>209550</xdr:rowOff>
    </xdr:to>
    <xdr:sp macro="" textlink="">
      <xdr:nvSpPr>
        <xdr:cNvPr id="35872" name="Text Box 32"/>
        <xdr:cNvSpPr txBox="1">
          <a:spLocks noChangeArrowheads="1"/>
        </xdr:cNvSpPr>
      </xdr:nvSpPr>
      <xdr:spPr bwMode="auto">
        <a:xfrm>
          <a:off x="914400" y="70675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xdr:row>
      <xdr:rowOff>66675</xdr:rowOff>
    </xdr:from>
    <xdr:to>
      <xdr:col>5</xdr:col>
      <xdr:colOff>19050</xdr:colOff>
      <xdr:row>26</xdr:row>
      <xdr:rowOff>209550</xdr:rowOff>
    </xdr:to>
    <xdr:sp macro="" textlink="">
      <xdr:nvSpPr>
        <xdr:cNvPr id="35873" name="Text Box 33"/>
        <xdr:cNvSpPr txBox="1">
          <a:spLocks noChangeArrowheads="1"/>
        </xdr:cNvSpPr>
      </xdr:nvSpPr>
      <xdr:spPr bwMode="auto">
        <a:xfrm>
          <a:off x="1809750" y="70675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xdr:row>
      <xdr:rowOff>76200</xdr:rowOff>
    </xdr:from>
    <xdr:to>
      <xdr:col>6</xdr:col>
      <xdr:colOff>295275</xdr:colOff>
      <xdr:row>26</xdr:row>
      <xdr:rowOff>219075</xdr:rowOff>
    </xdr:to>
    <xdr:sp macro="" textlink="">
      <xdr:nvSpPr>
        <xdr:cNvPr id="35874" name="Text Box 34"/>
        <xdr:cNvSpPr txBox="1">
          <a:spLocks noChangeArrowheads="1"/>
        </xdr:cNvSpPr>
      </xdr:nvSpPr>
      <xdr:spPr bwMode="auto">
        <a:xfrm>
          <a:off x="2752725" y="7077075"/>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12</xdr:col>
      <xdr:colOff>19050</xdr:colOff>
      <xdr:row>69</xdr:row>
      <xdr:rowOff>142875</xdr:rowOff>
    </xdr:from>
    <xdr:to>
      <xdr:col>19</xdr:col>
      <xdr:colOff>85725</xdr:colOff>
      <xdr:row>70</xdr:row>
      <xdr:rowOff>57150</xdr:rowOff>
    </xdr:to>
    <xdr:sp macro="" textlink="">
      <xdr:nvSpPr>
        <xdr:cNvPr id="35875" name="WordArt 35"/>
        <xdr:cNvSpPr>
          <a:spLocks noChangeArrowheads="1" noChangeShapeType="1" noTextEdit="1"/>
        </xdr:cNvSpPr>
      </xdr:nvSpPr>
      <xdr:spPr bwMode="auto">
        <a:xfrm>
          <a:off x="4467225" y="20116800"/>
          <a:ext cx="1638300" cy="4667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104775</xdr:colOff>
      <xdr:row>118</xdr:row>
      <xdr:rowOff>66675</xdr:rowOff>
    </xdr:from>
    <xdr:to>
      <xdr:col>2</xdr:col>
      <xdr:colOff>361950</xdr:colOff>
      <xdr:row>119</xdr:row>
      <xdr:rowOff>209550</xdr:rowOff>
    </xdr:to>
    <xdr:sp macro="" textlink="">
      <xdr:nvSpPr>
        <xdr:cNvPr id="35876" name="Text Box 36"/>
        <xdr:cNvSpPr txBox="1">
          <a:spLocks noChangeArrowheads="1"/>
        </xdr:cNvSpPr>
      </xdr:nvSpPr>
      <xdr:spPr bwMode="auto">
        <a:xfrm>
          <a:off x="914400" y="340899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126</xdr:row>
      <xdr:rowOff>66675</xdr:rowOff>
    </xdr:from>
    <xdr:to>
      <xdr:col>2</xdr:col>
      <xdr:colOff>361950</xdr:colOff>
      <xdr:row>127</xdr:row>
      <xdr:rowOff>209550</xdr:rowOff>
    </xdr:to>
    <xdr:sp macro="" textlink="">
      <xdr:nvSpPr>
        <xdr:cNvPr id="35877" name="Text Box 37"/>
        <xdr:cNvSpPr txBox="1">
          <a:spLocks noChangeArrowheads="1"/>
        </xdr:cNvSpPr>
      </xdr:nvSpPr>
      <xdr:spPr bwMode="auto">
        <a:xfrm>
          <a:off x="914400" y="365569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104775</xdr:colOff>
      <xdr:row>110</xdr:row>
      <xdr:rowOff>114300</xdr:rowOff>
    </xdr:from>
    <xdr:to>
      <xdr:col>11</xdr:col>
      <xdr:colOff>228600</xdr:colOff>
      <xdr:row>110</xdr:row>
      <xdr:rowOff>714375</xdr:rowOff>
    </xdr:to>
    <xdr:sp macro="" textlink="">
      <xdr:nvSpPr>
        <xdr:cNvPr id="35878" name="WordArt 38"/>
        <xdr:cNvSpPr>
          <a:spLocks noChangeArrowheads="1" noChangeShapeType="1" noTextEdit="1"/>
        </xdr:cNvSpPr>
      </xdr:nvSpPr>
      <xdr:spPr bwMode="auto">
        <a:xfrm>
          <a:off x="2143125" y="31222950"/>
          <a:ext cx="2276475" cy="6000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Άσκηση 2</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11</xdr:col>
      <xdr:colOff>190500</xdr:colOff>
      <xdr:row>105</xdr:row>
      <xdr:rowOff>228600</xdr:rowOff>
    </xdr:from>
    <xdr:to>
      <xdr:col>21</xdr:col>
      <xdr:colOff>190500</xdr:colOff>
      <xdr:row>107</xdr:row>
      <xdr:rowOff>190500</xdr:rowOff>
    </xdr:to>
    <xdr:sp macro="" textlink="">
      <xdr:nvSpPr>
        <xdr:cNvPr id="35879" name="WordArt 39">
          <a:hlinkClick xmlns:r="http://schemas.openxmlformats.org/officeDocument/2006/relationships" r:id="rId1"/>
        </xdr:cNvPr>
        <xdr:cNvSpPr>
          <a:spLocks noChangeArrowheads="1" noChangeShapeType="1" noTextEdit="1"/>
        </xdr:cNvSpPr>
      </xdr:nvSpPr>
      <xdr:spPr bwMode="auto">
        <a:xfrm>
          <a:off x="4381500" y="30079950"/>
          <a:ext cx="2771775" cy="4667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Κι άλλη εξάσκηση;</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14</xdr:col>
      <xdr:colOff>142875</xdr:colOff>
      <xdr:row>99</xdr:row>
      <xdr:rowOff>161925</xdr:rowOff>
    </xdr:from>
    <xdr:to>
      <xdr:col>19</xdr:col>
      <xdr:colOff>161925</xdr:colOff>
      <xdr:row>101</xdr:row>
      <xdr:rowOff>219075</xdr:rowOff>
    </xdr:to>
    <xdr:sp macro="" textlink="">
      <xdr:nvSpPr>
        <xdr:cNvPr id="35880" name="WordArt 40"/>
        <xdr:cNvSpPr>
          <a:spLocks noChangeArrowheads="1" noChangeShapeType="1" noTextEdit="1"/>
        </xdr:cNvSpPr>
      </xdr:nvSpPr>
      <xdr:spPr bwMode="auto">
        <a:xfrm>
          <a:off x="4981575" y="28317825"/>
          <a:ext cx="1200150" cy="71437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xdr:col>
      <xdr:colOff>104775</xdr:colOff>
      <xdr:row>134</xdr:row>
      <xdr:rowOff>66675</xdr:rowOff>
    </xdr:from>
    <xdr:to>
      <xdr:col>2</xdr:col>
      <xdr:colOff>361950</xdr:colOff>
      <xdr:row>135</xdr:row>
      <xdr:rowOff>209550</xdr:rowOff>
    </xdr:to>
    <xdr:sp macro="" textlink="">
      <xdr:nvSpPr>
        <xdr:cNvPr id="35881" name="Text Box 41"/>
        <xdr:cNvSpPr txBox="1">
          <a:spLocks noChangeArrowheads="1"/>
        </xdr:cNvSpPr>
      </xdr:nvSpPr>
      <xdr:spPr bwMode="auto">
        <a:xfrm>
          <a:off x="914400" y="391382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142</xdr:row>
      <xdr:rowOff>66675</xdr:rowOff>
    </xdr:from>
    <xdr:to>
      <xdr:col>2</xdr:col>
      <xdr:colOff>361950</xdr:colOff>
      <xdr:row>143</xdr:row>
      <xdr:rowOff>209550</xdr:rowOff>
    </xdr:to>
    <xdr:sp macro="" textlink="">
      <xdr:nvSpPr>
        <xdr:cNvPr id="35882" name="Text Box 42"/>
        <xdr:cNvSpPr txBox="1">
          <a:spLocks noChangeArrowheads="1"/>
        </xdr:cNvSpPr>
      </xdr:nvSpPr>
      <xdr:spPr bwMode="auto">
        <a:xfrm>
          <a:off x="914400" y="416909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150</xdr:row>
      <xdr:rowOff>66675</xdr:rowOff>
    </xdr:from>
    <xdr:to>
      <xdr:col>2</xdr:col>
      <xdr:colOff>361950</xdr:colOff>
      <xdr:row>151</xdr:row>
      <xdr:rowOff>209550</xdr:rowOff>
    </xdr:to>
    <xdr:sp macro="" textlink="">
      <xdr:nvSpPr>
        <xdr:cNvPr id="35883" name="Text Box 43"/>
        <xdr:cNvSpPr txBox="1">
          <a:spLocks noChangeArrowheads="1"/>
        </xdr:cNvSpPr>
      </xdr:nvSpPr>
      <xdr:spPr bwMode="auto">
        <a:xfrm>
          <a:off x="914400" y="442722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158</xdr:row>
      <xdr:rowOff>66675</xdr:rowOff>
    </xdr:from>
    <xdr:to>
      <xdr:col>2</xdr:col>
      <xdr:colOff>361950</xdr:colOff>
      <xdr:row>159</xdr:row>
      <xdr:rowOff>209550</xdr:rowOff>
    </xdr:to>
    <xdr:sp macro="" textlink="">
      <xdr:nvSpPr>
        <xdr:cNvPr id="35884" name="Text Box 44"/>
        <xdr:cNvSpPr txBox="1">
          <a:spLocks noChangeArrowheads="1"/>
        </xdr:cNvSpPr>
      </xdr:nvSpPr>
      <xdr:spPr bwMode="auto">
        <a:xfrm>
          <a:off x="914400" y="468344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166</xdr:row>
      <xdr:rowOff>66675</xdr:rowOff>
    </xdr:from>
    <xdr:to>
      <xdr:col>2</xdr:col>
      <xdr:colOff>361950</xdr:colOff>
      <xdr:row>167</xdr:row>
      <xdr:rowOff>209550</xdr:rowOff>
    </xdr:to>
    <xdr:sp macro="" textlink="">
      <xdr:nvSpPr>
        <xdr:cNvPr id="35885" name="Text Box 45"/>
        <xdr:cNvSpPr txBox="1">
          <a:spLocks noChangeArrowheads="1"/>
        </xdr:cNvSpPr>
      </xdr:nvSpPr>
      <xdr:spPr bwMode="auto">
        <a:xfrm>
          <a:off x="914400" y="494157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174</xdr:row>
      <xdr:rowOff>66675</xdr:rowOff>
    </xdr:from>
    <xdr:to>
      <xdr:col>2</xdr:col>
      <xdr:colOff>361950</xdr:colOff>
      <xdr:row>175</xdr:row>
      <xdr:rowOff>209550</xdr:rowOff>
    </xdr:to>
    <xdr:sp macro="" textlink="">
      <xdr:nvSpPr>
        <xdr:cNvPr id="35886" name="Text Box 46"/>
        <xdr:cNvSpPr txBox="1">
          <a:spLocks noChangeArrowheads="1"/>
        </xdr:cNvSpPr>
      </xdr:nvSpPr>
      <xdr:spPr bwMode="auto">
        <a:xfrm>
          <a:off x="914400" y="519684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182</xdr:row>
      <xdr:rowOff>66675</xdr:rowOff>
    </xdr:from>
    <xdr:to>
      <xdr:col>2</xdr:col>
      <xdr:colOff>361950</xdr:colOff>
      <xdr:row>183</xdr:row>
      <xdr:rowOff>209550</xdr:rowOff>
    </xdr:to>
    <xdr:sp macro="" textlink="">
      <xdr:nvSpPr>
        <xdr:cNvPr id="35887" name="Text Box 47"/>
        <xdr:cNvSpPr txBox="1">
          <a:spLocks noChangeArrowheads="1"/>
        </xdr:cNvSpPr>
      </xdr:nvSpPr>
      <xdr:spPr bwMode="auto">
        <a:xfrm>
          <a:off x="914400" y="545496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190</xdr:row>
      <xdr:rowOff>66675</xdr:rowOff>
    </xdr:from>
    <xdr:to>
      <xdr:col>2</xdr:col>
      <xdr:colOff>361950</xdr:colOff>
      <xdr:row>191</xdr:row>
      <xdr:rowOff>209550</xdr:rowOff>
    </xdr:to>
    <xdr:sp macro="" textlink="">
      <xdr:nvSpPr>
        <xdr:cNvPr id="35888" name="Text Box 48"/>
        <xdr:cNvSpPr txBox="1">
          <a:spLocks noChangeArrowheads="1"/>
        </xdr:cNvSpPr>
      </xdr:nvSpPr>
      <xdr:spPr bwMode="auto">
        <a:xfrm>
          <a:off x="914400" y="571214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12</xdr:col>
      <xdr:colOff>133350</xdr:colOff>
      <xdr:row>86</xdr:row>
      <xdr:rowOff>114300</xdr:rowOff>
    </xdr:from>
    <xdr:to>
      <xdr:col>20</xdr:col>
      <xdr:colOff>47625</xdr:colOff>
      <xdr:row>87</xdr:row>
      <xdr:rowOff>171450</xdr:rowOff>
    </xdr:to>
    <xdr:sp macro="" textlink="">
      <xdr:nvSpPr>
        <xdr:cNvPr id="35889" name="WordArt 49"/>
        <xdr:cNvSpPr>
          <a:spLocks noChangeArrowheads="1" noChangeShapeType="1" noTextEdit="1"/>
        </xdr:cNvSpPr>
      </xdr:nvSpPr>
      <xdr:spPr bwMode="auto">
        <a:xfrm>
          <a:off x="4581525" y="24831675"/>
          <a:ext cx="1743075" cy="3143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0</xdr:col>
      <xdr:colOff>142875</xdr:colOff>
      <xdr:row>197</xdr:row>
      <xdr:rowOff>142875</xdr:rowOff>
    </xdr:from>
    <xdr:to>
      <xdr:col>4</xdr:col>
      <xdr:colOff>76200</xdr:colOff>
      <xdr:row>197</xdr:row>
      <xdr:rowOff>495300</xdr:rowOff>
    </xdr:to>
    <xdr:sp macro="" textlink="">
      <xdr:nvSpPr>
        <xdr:cNvPr id="35890" name="WordArt 50"/>
        <xdr:cNvSpPr>
          <a:spLocks noChangeArrowheads="1" noChangeShapeType="1" noTextEdit="1"/>
        </xdr:cNvSpPr>
      </xdr:nvSpPr>
      <xdr:spPr bwMode="auto">
        <a:xfrm>
          <a:off x="142875" y="59112150"/>
          <a:ext cx="1638300" cy="3524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5</xdr:col>
      <xdr:colOff>104775</xdr:colOff>
      <xdr:row>201</xdr:row>
      <xdr:rowOff>114300</xdr:rowOff>
    </xdr:from>
    <xdr:to>
      <xdr:col>11</xdr:col>
      <xdr:colOff>228600</xdr:colOff>
      <xdr:row>201</xdr:row>
      <xdr:rowOff>714375</xdr:rowOff>
    </xdr:to>
    <xdr:sp macro="" textlink="">
      <xdr:nvSpPr>
        <xdr:cNvPr id="35891" name="WordArt 51"/>
        <xdr:cNvSpPr>
          <a:spLocks noChangeArrowheads="1" noChangeShapeType="1" noTextEdit="1"/>
        </xdr:cNvSpPr>
      </xdr:nvSpPr>
      <xdr:spPr bwMode="auto">
        <a:xfrm>
          <a:off x="2143125" y="60283725"/>
          <a:ext cx="2276475" cy="6000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Άσκηση 3</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104775</xdr:colOff>
      <xdr:row>208</xdr:row>
      <xdr:rowOff>66675</xdr:rowOff>
    </xdr:from>
    <xdr:to>
      <xdr:col>2</xdr:col>
      <xdr:colOff>361950</xdr:colOff>
      <xdr:row>209</xdr:row>
      <xdr:rowOff>209550</xdr:rowOff>
    </xdr:to>
    <xdr:sp macro="" textlink="">
      <xdr:nvSpPr>
        <xdr:cNvPr id="35892" name="Text Box 52"/>
        <xdr:cNvSpPr txBox="1">
          <a:spLocks noChangeArrowheads="1"/>
        </xdr:cNvSpPr>
      </xdr:nvSpPr>
      <xdr:spPr bwMode="auto">
        <a:xfrm>
          <a:off x="914400" y="62569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208</xdr:row>
      <xdr:rowOff>66675</xdr:rowOff>
    </xdr:from>
    <xdr:to>
      <xdr:col>5</xdr:col>
      <xdr:colOff>19050</xdr:colOff>
      <xdr:row>209</xdr:row>
      <xdr:rowOff>209550</xdr:rowOff>
    </xdr:to>
    <xdr:sp macro="" textlink="">
      <xdr:nvSpPr>
        <xdr:cNvPr id="35893" name="Text Box 53"/>
        <xdr:cNvSpPr txBox="1">
          <a:spLocks noChangeArrowheads="1"/>
        </xdr:cNvSpPr>
      </xdr:nvSpPr>
      <xdr:spPr bwMode="auto">
        <a:xfrm>
          <a:off x="1809750" y="62569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208</xdr:row>
      <xdr:rowOff>76200</xdr:rowOff>
    </xdr:from>
    <xdr:to>
      <xdr:col>6</xdr:col>
      <xdr:colOff>295275</xdr:colOff>
      <xdr:row>209</xdr:row>
      <xdr:rowOff>219075</xdr:rowOff>
    </xdr:to>
    <xdr:sp macro="" textlink="">
      <xdr:nvSpPr>
        <xdr:cNvPr id="35894" name="Text Box 54"/>
        <xdr:cNvSpPr txBox="1">
          <a:spLocks noChangeArrowheads="1"/>
        </xdr:cNvSpPr>
      </xdr:nvSpPr>
      <xdr:spPr bwMode="auto">
        <a:xfrm>
          <a:off x="2752725" y="62579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213</xdr:row>
      <xdr:rowOff>66675</xdr:rowOff>
    </xdr:from>
    <xdr:to>
      <xdr:col>2</xdr:col>
      <xdr:colOff>361950</xdr:colOff>
      <xdr:row>214</xdr:row>
      <xdr:rowOff>209550</xdr:rowOff>
    </xdr:to>
    <xdr:sp macro="" textlink="">
      <xdr:nvSpPr>
        <xdr:cNvPr id="35895" name="Text Box 55"/>
        <xdr:cNvSpPr txBox="1">
          <a:spLocks noChangeArrowheads="1"/>
        </xdr:cNvSpPr>
      </xdr:nvSpPr>
      <xdr:spPr bwMode="auto">
        <a:xfrm>
          <a:off x="914400" y="63712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213</xdr:row>
      <xdr:rowOff>66675</xdr:rowOff>
    </xdr:from>
    <xdr:to>
      <xdr:col>5</xdr:col>
      <xdr:colOff>19050</xdr:colOff>
      <xdr:row>214</xdr:row>
      <xdr:rowOff>209550</xdr:rowOff>
    </xdr:to>
    <xdr:sp macro="" textlink="">
      <xdr:nvSpPr>
        <xdr:cNvPr id="35896" name="Text Box 56"/>
        <xdr:cNvSpPr txBox="1">
          <a:spLocks noChangeArrowheads="1"/>
        </xdr:cNvSpPr>
      </xdr:nvSpPr>
      <xdr:spPr bwMode="auto">
        <a:xfrm>
          <a:off x="1809750" y="63712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213</xdr:row>
      <xdr:rowOff>76200</xdr:rowOff>
    </xdr:from>
    <xdr:to>
      <xdr:col>6</xdr:col>
      <xdr:colOff>295275</xdr:colOff>
      <xdr:row>214</xdr:row>
      <xdr:rowOff>219075</xdr:rowOff>
    </xdr:to>
    <xdr:sp macro="" textlink="">
      <xdr:nvSpPr>
        <xdr:cNvPr id="35897" name="Text Box 57"/>
        <xdr:cNvSpPr txBox="1">
          <a:spLocks noChangeArrowheads="1"/>
        </xdr:cNvSpPr>
      </xdr:nvSpPr>
      <xdr:spPr bwMode="auto">
        <a:xfrm>
          <a:off x="2752725" y="63722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217</xdr:row>
      <xdr:rowOff>66675</xdr:rowOff>
    </xdr:from>
    <xdr:to>
      <xdr:col>2</xdr:col>
      <xdr:colOff>361950</xdr:colOff>
      <xdr:row>218</xdr:row>
      <xdr:rowOff>209550</xdr:rowOff>
    </xdr:to>
    <xdr:sp macro="" textlink="">
      <xdr:nvSpPr>
        <xdr:cNvPr id="35898" name="Text Box 58"/>
        <xdr:cNvSpPr txBox="1">
          <a:spLocks noChangeArrowheads="1"/>
        </xdr:cNvSpPr>
      </xdr:nvSpPr>
      <xdr:spPr bwMode="auto">
        <a:xfrm>
          <a:off x="914400" y="64665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217</xdr:row>
      <xdr:rowOff>66675</xdr:rowOff>
    </xdr:from>
    <xdr:to>
      <xdr:col>5</xdr:col>
      <xdr:colOff>19050</xdr:colOff>
      <xdr:row>218</xdr:row>
      <xdr:rowOff>209550</xdr:rowOff>
    </xdr:to>
    <xdr:sp macro="" textlink="">
      <xdr:nvSpPr>
        <xdr:cNvPr id="35899" name="Text Box 59"/>
        <xdr:cNvSpPr txBox="1">
          <a:spLocks noChangeArrowheads="1"/>
        </xdr:cNvSpPr>
      </xdr:nvSpPr>
      <xdr:spPr bwMode="auto">
        <a:xfrm>
          <a:off x="1809750" y="64665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217</xdr:row>
      <xdr:rowOff>76200</xdr:rowOff>
    </xdr:from>
    <xdr:to>
      <xdr:col>6</xdr:col>
      <xdr:colOff>295275</xdr:colOff>
      <xdr:row>218</xdr:row>
      <xdr:rowOff>219075</xdr:rowOff>
    </xdr:to>
    <xdr:sp macro="" textlink="">
      <xdr:nvSpPr>
        <xdr:cNvPr id="35900" name="Text Box 60"/>
        <xdr:cNvSpPr txBox="1">
          <a:spLocks noChangeArrowheads="1"/>
        </xdr:cNvSpPr>
      </xdr:nvSpPr>
      <xdr:spPr bwMode="auto">
        <a:xfrm>
          <a:off x="2752725" y="64674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221</xdr:row>
      <xdr:rowOff>66675</xdr:rowOff>
    </xdr:from>
    <xdr:to>
      <xdr:col>2</xdr:col>
      <xdr:colOff>361950</xdr:colOff>
      <xdr:row>222</xdr:row>
      <xdr:rowOff>209550</xdr:rowOff>
    </xdr:to>
    <xdr:sp macro="" textlink="">
      <xdr:nvSpPr>
        <xdr:cNvPr id="35901" name="Text Box 61"/>
        <xdr:cNvSpPr txBox="1">
          <a:spLocks noChangeArrowheads="1"/>
        </xdr:cNvSpPr>
      </xdr:nvSpPr>
      <xdr:spPr bwMode="auto">
        <a:xfrm>
          <a:off x="914400" y="6561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221</xdr:row>
      <xdr:rowOff>66675</xdr:rowOff>
    </xdr:from>
    <xdr:to>
      <xdr:col>5</xdr:col>
      <xdr:colOff>19050</xdr:colOff>
      <xdr:row>222</xdr:row>
      <xdr:rowOff>209550</xdr:rowOff>
    </xdr:to>
    <xdr:sp macro="" textlink="">
      <xdr:nvSpPr>
        <xdr:cNvPr id="35902" name="Text Box 62"/>
        <xdr:cNvSpPr txBox="1">
          <a:spLocks noChangeArrowheads="1"/>
        </xdr:cNvSpPr>
      </xdr:nvSpPr>
      <xdr:spPr bwMode="auto">
        <a:xfrm>
          <a:off x="1809750" y="6561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221</xdr:row>
      <xdr:rowOff>76200</xdr:rowOff>
    </xdr:from>
    <xdr:to>
      <xdr:col>6</xdr:col>
      <xdr:colOff>295275</xdr:colOff>
      <xdr:row>222</xdr:row>
      <xdr:rowOff>219075</xdr:rowOff>
    </xdr:to>
    <xdr:sp macro="" textlink="">
      <xdr:nvSpPr>
        <xdr:cNvPr id="35903" name="Text Box 63"/>
        <xdr:cNvSpPr txBox="1">
          <a:spLocks noChangeArrowheads="1"/>
        </xdr:cNvSpPr>
      </xdr:nvSpPr>
      <xdr:spPr bwMode="auto">
        <a:xfrm>
          <a:off x="2752725" y="65627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225</xdr:row>
      <xdr:rowOff>66675</xdr:rowOff>
    </xdr:from>
    <xdr:to>
      <xdr:col>2</xdr:col>
      <xdr:colOff>361950</xdr:colOff>
      <xdr:row>226</xdr:row>
      <xdr:rowOff>209550</xdr:rowOff>
    </xdr:to>
    <xdr:sp macro="" textlink="">
      <xdr:nvSpPr>
        <xdr:cNvPr id="35904" name="Text Box 64"/>
        <xdr:cNvSpPr txBox="1">
          <a:spLocks noChangeArrowheads="1"/>
        </xdr:cNvSpPr>
      </xdr:nvSpPr>
      <xdr:spPr bwMode="auto">
        <a:xfrm>
          <a:off x="91440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225</xdr:row>
      <xdr:rowOff>66675</xdr:rowOff>
    </xdr:from>
    <xdr:to>
      <xdr:col>5</xdr:col>
      <xdr:colOff>19050</xdr:colOff>
      <xdr:row>226</xdr:row>
      <xdr:rowOff>209550</xdr:rowOff>
    </xdr:to>
    <xdr:sp macro="" textlink="">
      <xdr:nvSpPr>
        <xdr:cNvPr id="35905" name="Text Box 65"/>
        <xdr:cNvSpPr txBox="1">
          <a:spLocks noChangeArrowheads="1"/>
        </xdr:cNvSpPr>
      </xdr:nvSpPr>
      <xdr:spPr bwMode="auto">
        <a:xfrm>
          <a:off x="180975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225</xdr:row>
      <xdr:rowOff>76200</xdr:rowOff>
    </xdr:from>
    <xdr:to>
      <xdr:col>6</xdr:col>
      <xdr:colOff>295275</xdr:colOff>
      <xdr:row>226</xdr:row>
      <xdr:rowOff>219075</xdr:rowOff>
    </xdr:to>
    <xdr:sp macro="" textlink="">
      <xdr:nvSpPr>
        <xdr:cNvPr id="35906" name="Text Box 66"/>
        <xdr:cNvSpPr txBox="1">
          <a:spLocks noChangeArrowheads="1"/>
        </xdr:cNvSpPr>
      </xdr:nvSpPr>
      <xdr:spPr bwMode="auto">
        <a:xfrm>
          <a:off x="2752725" y="66579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229</xdr:row>
      <xdr:rowOff>66675</xdr:rowOff>
    </xdr:from>
    <xdr:to>
      <xdr:col>2</xdr:col>
      <xdr:colOff>361950</xdr:colOff>
      <xdr:row>230</xdr:row>
      <xdr:rowOff>209550</xdr:rowOff>
    </xdr:to>
    <xdr:sp macro="" textlink="">
      <xdr:nvSpPr>
        <xdr:cNvPr id="35907" name="Text Box 67"/>
        <xdr:cNvSpPr txBox="1">
          <a:spLocks noChangeArrowheads="1"/>
        </xdr:cNvSpPr>
      </xdr:nvSpPr>
      <xdr:spPr bwMode="auto">
        <a:xfrm>
          <a:off x="91440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5908" name="Text Box 68"/>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5909" name="Text Box 69"/>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233</xdr:row>
      <xdr:rowOff>66675</xdr:rowOff>
    </xdr:from>
    <xdr:to>
      <xdr:col>2</xdr:col>
      <xdr:colOff>361950</xdr:colOff>
      <xdr:row>234</xdr:row>
      <xdr:rowOff>209550</xdr:rowOff>
    </xdr:to>
    <xdr:sp macro="" textlink="">
      <xdr:nvSpPr>
        <xdr:cNvPr id="35910" name="Text Box 70"/>
        <xdr:cNvSpPr txBox="1">
          <a:spLocks noChangeArrowheads="1"/>
        </xdr:cNvSpPr>
      </xdr:nvSpPr>
      <xdr:spPr bwMode="auto">
        <a:xfrm>
          <a:off x="91440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5911" name="Text Box 71"/>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5912" name="Text Box 72"/>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237</xdr:row>
      <xdr:rowOff>66675</xdr:rowOff>
    </xdr:from>
    <xdr:to>
      <xdr:col>2</xdr:col>
      <xdr:colOff>361950</xdr:colOff>
      <xdr:row>238</xdr:row>
      <xdr:rowOff>209550</xdr:rowOff>
    </xdr:to>
    <xdr:sp macro="" textlink="">
      <xdr:nvSpPr>
        <xdr:cNvPr id="35913" name="Text Box 73"/>
        <xdr:cNvSpPr txBox="1">
          <a:spLocks noChangeArrowheads="1"/>
        </xdr:cNvSpPr>
      </xdr:nvSpPr>
      <xdr:spPr bwMode="auto">
        <a:xfrm>
          <a:off x="91440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5914" name="Text Box 74"/>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5915" name="Text Box 75"/>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241</xdr:row>
      <xdr:rowOff>66675</xdr:rowOff>
    </xdr:from>
    <xdr:to>
      <xdr:col>2</xdr:col>
      <xdr:colOff>361950</xdr:colOff>
      <xdr:row>242</xdr:row>
      <xdr:rowOff>209550</xdr:rowOff>
    </xdr:to>
    <xdr:sp macro="" textlink="">
      <xdr:nvSpPr>
        <xdr:cNvPr id="35916" name="Text Box 76"/>
        <xdr:cNvSpPr txBox="1">
          <a:spLocks noChangeArrowheads="1"/>
        </xdr:cNvSpPr>
      </xdr:nvSpPr>
      <xdr:spPr bwMode="auto">
        <a:xfrm>
          <a:off x="91440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5917" name="Text Box 77"/>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5918" name="Text Box 78"/>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245</xdr:row>
      <xdr:rowOff>66675</xdr:rowOff>
    </xdr:from>
    <xdr:to>
      <xdr:col>2</xdr:col>
      <xdr:colOff>361950</xdr:colOff>
      <xdr:row>246</xdr:row>
      <xdr:rowOff>209550</xdr:rowOff>
    </xdr:to>
    <xdr:sp macro="" textlink="">
      <xdr:nvSpPr>
        <xdr:cNvPr id="35919" name="Text Box 79"/>
        <xdr:cNvSpPr txBox="1">
          <a:spLocks noChangeArrowheads="1"/>
        </xdr:cNvSpPr>
      </xdr:nvSpPr>
      <xdr:spPr bwMode="auto">
        <a:xfrm>
          <a:off x="91440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5920" name="Text Box 80"/>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5921" name="Text Box 81"/>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249</xdr:row>
      <xdr:rowOff>66675</xdr:rowOff>
    </xdr:from>
    <xdr:to>
      <xdr:col>2</xdr:col>
      <xdr:colOff>361950</xdr:colOff>
      <xdr:row>250</xdr:row>
      <xdr:rowOff>209550</xdr:rowOff>
    </xdr:to>
    <xdr:sp macro="" textlink="">
      <xdr:nvSpPr>
        <xdr:cNvPr id="35922" name="Text Box 82"/>
        <xdr:cNvSpPr txBox="1">
          <a:spLocks noChangeArrowheads="1"/>
        </xdr:cNvSpPr>
      </xdr:nvSpPr>
      <xdr:spPr bwMode="auto">
        <a:xfrm>
          <a:off x="91440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5923" name="Text Box 83"/>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5924" name="Text Box 84"/>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0</xdr:col>
      <xdr:colOff>142875</xdr:colOff>
      <xdr:row>252</xdr:row>
      <xdr:rowOff>142875</xdr:rowOff>
    </xdr:from>
    <xdr:to>
      <xdr:col>4</xdr:col>
      <xdr:colOff>76200</xdr:colOff>
      <xdr:row>252</xdr:row>
      <xdr:rowOff>495300</xdr:rowOff>
    </xdr:to>
    <xdr:sp macro="" textlink="">
      <xdr:nvSpPr>
        <xdr:cNvPr id="35925" name="WordArt 85"/>
        <xdr:cNvSpPr>
          <a:spLocks noChangeArrowheads="1" noChangeShapeType="1" noTextEdit="1"/>
        </xdr:cNvSpPr>
      </xdr:nvSpPr>
      <xdr:spPr bwMode="auto">
        <a:xfrm>
          <a:off x="142875" y="73247250"/>
          <a:ext cx="1638300" cy="3524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xdr:col>
      <xdr:colOff>104775</xdr:colOff>
      <xdr:row>259</xdr:row>
      <xdr:rowOff>66675</xdr:rowOff>
    </xdr:from>
    <xdr:to>
      <xdr:col>2</xdr:col>
      <xdr:colOff>361950</xdr:colOff>
      <xdr:row>260</xdr:row>
      <xdr:rowOff>209550</xdr:rowOff>
    </xdr:to>
    <xdr:sp macro="" textlink="">
      <xdr:nvSpPr>
        <xdr:cNvPr id="35926" name="Text Box 86"/>
        <xdr:cNvSpPr txBox="1">
          <a:spLocks noChangeArrowheads="1"/>
        </xdr:cNvSpPr>
      </xdr:nvSpPr>
      <xdr:spPr bwMode="auto">
        <a:xfrm>
          <a:off x="914400" y="75980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259</xdr:row>
      <xdr:rowOff>76200</xdr:rowOff>
    </xdr:from>
    <xdr:to>
      <xdr:col>4</xdr:col>
      <xdr:colOff>295275</xdr:colOff>
      <xdr:row>260</xdr:row>
      <xdr:rowOff>219075</xdr:rowOff>
    </xdr:to>
    <xdr:sp macro="" textlink="">
      <xdr:nvSpPr>
        <xdr:cNvPr id="35927" name="Text Box 87"/>
        <xdr:cNvSpPr txBox="1">
          <a:spLocks noChangeArrowheads="1"/>
        </xdr:cNvSpPr>
      </xdr:nvSpPr>
      <xdr:spPr bwMode="auto">
        <a:xfrm>
          <a:off x="1752600" y="75990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263</xdr:row>
      <xdr:rowOff>66675</xdr:rowOff>
    </xdr:from>
    <xdr:to>
      <xdr:col>2</xdr:col>
      <xdr:colOff>361950</xdr:colOff>
      <xdr:row>264</xdr:row>
      <xdr:rowOff>209550</xdr:rowOff>
    </xdr:to>
    <xdr:sp macro="" textlink="">
      <xdr:nvSpPr>
        <xdr:cNvPr id="35928" name="Text Box 88"/>
        <xdr:cNvSpPr txBox="1">
          <a:spLocks noChangeArrowheads="1"/>
        </xdr:cNvSpPr>
      </xdr:nvSpPr>
      <xdr:spPr bwMode="auto">
        <a:xfrm>
          <a:off x="914400" y="771239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263</xdr:row>
      <xdr:rowOff>76200</xdr:rowOff>
    </xdr:from>
    <xdr:to>
      <xdr:col>4</xdr:col>
      <xdr:colOff>295275</xdr:colOff>
      <xdr:row>264</xdr:row>
      <xdr:rowOff>219075</xdr:rowOff>
    </xdr:to>
    <xdr:sp macro="" textlink="">
      <xdr:nvSpPr>
        <xdr:cNvPr id="35929" name="Text Box 89"/>
        <xdr:cNvSpPr txBox="1">
          <a:spLocks noChangeArrowheads="1"/>
        </xdr:cNvSpPr>
      </xdr:nvSpPr>
      <xdr:spPr bwMode="auto">
        <a:xfrm>
          <a:off x="1752600" y="771334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267</xdr:row>
      <xdr:rowOff>66675</xdr:rowOff>
    </xdr:from>
    <xdr:to>
      <xdr:col>2</xdr:col>
      <xdr:colOff>361950</xdr:colOff>
      <xdr:row>268</xdr:row>
      <xdr:rowOff>209550</xdr:rowOff>
    </xdr:to>
    <xdr:sp macro="" textlink="">
      <xdr:nvSpPr>
        <xdr:cNvPr id="35930" name="Text Box 90"/>
        <xdr:cNvSpPr txBox="1">
          <a:spLocks noChangeArrowheads="1"/>
        </xdr:cNvSpPr>
      </xdr:nvSpPr>
      <xdr:spPr bwMode="auto">
        <a:xfrm>
          <a:off x="914400" y="781526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267</xdr:row>
      <xdr:rowOff>76200</xdr:rowOff>
    </xdr:from>
    <xdr:to>
      <xdr:col>4</xdr:col>
      <xdr:colOff>295275</xdr:colOff>
      <xdr:row>268</xdr:row>
      <xdr:rowOff>219075</xdr:rowOff>
    </xdr:to>
    <xdr:sp macro="" textlink="">
      <xdr:nvSpPr>
        <xdr:cNvPr id="35931" name="Text Box 91"/>
        <xdr:cNvSpPr txBox="1">
          <a:spLocks noChangeArrowheads="1"/>
        </xdr:cNvSpPr>
      </xdr:nvSpPr>
      <xdr:spPr bwMode="auto">
        <a:xfrm>
          <a:off x="1752600" y="78162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271</xdr:row>
      <xdr:rowOff>66675</xdr:rowOff>
    </xdr:from>
    <xdr:to>
      <xdr:col>2</xdr:col>
      <xdr:colOff>361950</xdr:colOff>
      <xdr:row>272</xdr:row>
      <xdr:rowOff>209550</xdr:rowOff>
    </xdr:to>
    <xdr:sp macro="" textlink="">
      <xdr:nvSpPr>
        <xdr:cNvPr id="35932" name="Text Box 92"/>
        <xdr:cNvSpPr txBox="1">
          <a:spLocks noChangeArrowheads="1"/>
        </xdr:cNvSpPr>
      </xdr:nvSpPr>
      <xdr:spPr bwMode="auto">
        <a:xfrm>
          <a:off x="914400" y="79162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271</xdr:row>
      <xdr:rowOff>76200</xdr:rowOff>
    </xdr:from>
    <xdr:to>
      <xdr:col>4</xdr:col>
      <xdr:colOff>295275</xdr:colOff>
      <xdr:row>272</xdr:row>
      <xdr:rowOff>219075</xdr:rowOff>
    </xdr:to>
    <xdr:sp macro="" textlink="">
      <xdr:nvSpPr>
        <xdr:cNvPr id="35933" name="Text Box 93"/>
        <xdr:cNvSpPr txBox="1">
          <a:spLocks noChangeArrowheads="1"/>
        </xdr:cNvSpPr>
      </xdr:nvSpPr>
      <xdr:spPr bwMode="auto">
        <a:xfrm>
          <a:off x="1752600" y="79171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275</xdr:row>
      <xdr:rowOff>66675</xdr:rowOff>
    </xdr:from>
    <xdr:to>
      <xdr:col>2</xdr:col>
      <xdr:colOff>361950</xdr:colOff>
      <xdr:row>276</xdr:row>
      <xdr:rowOff>209550</xdr:rowOff>
    </xdr:to>
    <xdr:sp macro="" textlink="">
      <xdr:nvSpPr>
        <xdr:cNvPr id="35934" name="Text Box 94"/>
        <xdr:cNvSpPr txBox="1">
          <a:spLocks noChangeArrowheads="1"/>
        </xdr:cNvSpPr>
      </xdr:nvSpPr>
      <xdr:spPr bwMode="auto">
        <a:xfrm>
          <a:off x="914400" y="80171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275</xdr:row>
      <xdr:rowOff>76200</xdr:rowOff>
    </xdr:from>
    <xdr:to>
      <xdr:col>4</xdr:col>
      <xdr:colOff>295275</xdr:colOff>
      <xdr:row>276</xdr:row>
      <xdr:rowOff>219075</xdr:rowOff>
    </xdr:to>
    <xdr:sp macro="" textlink="">
      <xdr:nvSpPr>
        <xdr:cNvPr id="35935" name="Text Box 95"/>
        <xdr:cNvSpPr txBox="1">
          <a:spLocks noChangeArrowheads="1"/>
        </xdr:cNvSpPr>
      </xdr:nvSpPr>
      <xdr:spPr bwMode="auto">
        <a:xfrm>
          <a:off x="1752600" y="80181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279</xdr:row>
      <xdr:rowOff>66675</xdr:rowOff>
    </xdr:from>
    <xdr:to>
      <xdr:col>2</xdr:col>
      <xdr:colOff>361950</xdr:colOff>
      <xdr:row>280</xdr:row>
      <xdr:rowOff>209550</xdr:rowOff>
    </xdr:to>
    <xdr:sp macro="" textlink="">
      <xdr:nvSpPr>
        <xdr:cNvPr id="35936" name="Text Box 96"/>
        <xdr:cNvSpPr txBox="1">
          <a:spLocks noChangeArrowheads="1"/>
        </xdr:cNvSpPr>
      </xdr:nvSpPr>
      <xdr:spPr bwMode="auto">
        <a:xfrm>
          <a:off x="914400" y="8122920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279</xdr:row>
      <xdr:rowOff>76200</xdr:rowOff>
    </xdr:from>
    <xdr:to>
      <xdr:col>4</xdr:col>
      <xdr:colOff>295275</xdr:colOff>
      <xdr:row>280</xdr:row>
      <xdr:rowOff>219075</xdr:rowOff>
    </xdr:to>
    <xdr:sp macro="" textlink="">
      <xdr:nvSpPr>
        <xdr:cNvPr id="35937" name="Text Box 97"/>
        <xdr:cNvSpPr txBox="1">
          <a:spLocks noChangeArrowheads="1"/>
        </xdr:cNvSpPr>
      </xdr:nvSpPr>
      <xdr:spPr bwMode="auto">
        <a:xfrm>
          <a:off x="1752600" y="812387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283</xdr:row>
      <xdr:rowOff>66675</xdr:rowOff>
    </xdr:from>
    <xdr:to>
      <xdr:col>2</xdr:col>
      <xdr:colOff>361950</xdr:colOff>
      <xdr:row>284</xdr:row>
      <xdr:rowOff>209550</xdr:rowOff>
    </xdr:to>
    <xdr:sp macro="" textlink="">
      <xdr:nvSpPr>
        <xdr:cNvPr id="35938" name="Text Box 98"/>
        <xdr:cNvSpPr txBox="1">
          <a:spLocks noChangeArrowheads="1"/>
        </xdr:cNvSpPr>
      </xdr:nvSpPr>
      <xdr:spPr bwMode="auto">
        <a:xfrm>
          <a:off x="914400" y="823436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283</xdr:row>
      <xdr:rowOff>76200</xdr:rowOff>
    </xdr:from>
    <xdr:to>
      <xdr:col>4</xdr:col>
      <xdr:colOff>295275</xdr:colOff>
      <xdr:row>284</xdr:row>
      <xdr:rowOff>219075</xdr:rowOff>
    </xdr:to>
    <xdr:sp macro="" textlink="">
      <xdr:nvSpPr>
        <xdr:cNvPr id="35939" name="Text Box 99"/>
        <xdr:cNvSpPr txBox="1">
          <a:spLocks noChangeArrowheads="1"/>
        </xdr:cNvSpPr>
      </xdr:nvSpPr>
      <xdr:spPr bwMode="auto">
        <a:xfrm>
          <a:off x="1752600" y="82353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287</xdr:row>
      <xdr:rowOff>66675</xdr:rowOff>
    </xdr:from>
    <xdr:to>
      <xdr:col>2</xdr:col>
      <xdr:colOff>361950</xdr:colOff>
      <xdr:row>288</xdr:row>
      <xdr:rowOff>209550</xdr:rowOff>
    </xdr:to>
    <xdr:sp macro="" textlink="">
      <xdr:nvSpPr>
        <xdr:cNvPr id="35940" name="Text Box 100"/>
        <xdr:cNvSpPr txBox="1">
          <a:spLocks noChangeArrowheads="1"/>
        </xdr:cNvSpPr>
      </xdr:nvSpPr>
      <xdr:spPr bwMode="auto">
        <a:xfrm>
          <a:off x="914400" y="83353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5941" name="Text Box 101"/>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291</xdr:row>
      <xdr:rowOff>66675</xdr:rowOff>
    </xdr:from>
    <xdr:to>
      <xdr:col>2</xdr:col>
      <xdr:colOff>361950</xdr:colOff>
      <xdr:row>292</xdr:row>
      <xdr:rowOff>209550</xdr:rowOff>
    </xdr:to>
    <xdr:sp macro="" textlink="">
      <xdr:nvSpPr>
        <xdr:cNvPr id="35942" name="Text Box 102"/>
        <xdr:cNvSpPr txBox="1">
          <a:spLocks noChangeArrowheads="1"/>
        </xdr:cNvSpPr>
      </xdr:nvSpPr>
      <xdr:spPr bwMode="auto">
        <a:xfrm>
          <a:off x="914400" y="8453437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5943" name="Text Box 103"/>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295</xdr:row>
      <xdr:rowOff>66675</xdr:rowOff>
    </xdr:from>
    <xdr:to>
      <xdr:col>2</xdr:col>
      <xdr:colOff>361950</xdr:colOff>
      <xdr:row>296</xdr:row>
      <xdr:rowOff>209550</xdr:rowOff>
    </xdr:to>
    <xdr:sp macro="" textlink="">
      <xdr:nvSpPr>
        <xdr:cNvPr id="35944" name="Text Box 104"/>
        <xdr:cNvSpPr txBox="1">
          <a:spLocks noChangeArrowheads="1"/>
        </xdr:cNvSpPr>
      </xdr:nvSpPr>
      <xdr:spPr bwMode="auto">
        <a:xfrm>
          <a:off x="914400" y="855535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5945" name="Text Box 105"/>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12</xdr:col>
      <xdr:colOff>19050</xdr:colOff>
      <xdr:row>258</xdr:row>
      <xdr:rowOff>142875</xdr:rowOff>
    </xdr:from>
    <xdr:to>
      <xdr:col>19</xdr:col>
      <xdr:colOff>85725</xdr:colOff>
      <xdr:row>259</xdr:row>
      <xdr:rowOff>57150</xdr:rowOff>
    </xdr:to>
    <xdr:sp macro="" textlink="">
      <xdr:nvSpPr>
        <xdr:cNvPr id="35946" name="WordArt 106"/>
        <xdr:cNvSpPr>
          <a:spLocks noChangeArrowheads="1" noChangeShapeType="1" noTextEdit="1"/>
        </xdr:cNvSpPr>
      </xdr:nvSpPr>
      <xdr:spPr bwMode="auto">
        <a:xfrm>
          <a:off x="4467225" y="75504675"/>
          <a:ext cx="1638300" cy="4667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14</xdr:col>
      <xdr:colOff>142875</xdr:colOff>
      <xdr:row>288</xdr:row>
      <xdr:rowOff>161925</xdr:rowOff>
    </xdr:from>
    <xdr:to>
      <xdr:col>19</xdr:col>
      <xdr:colOff>161925</xdr:colOff>
      <xdr:row>290</xdr:row>
      <xdr:rowOff>219075</xdr:rowOff>
    </xdr:to>
    <xdr:sp macro="" textlink="">
      <xdr:nvSpPr>
        <xdr:cNvPr id="35947" name="WordArt 107"/>
        <xdr:cNvSpPr>
          <a:spLocks noChangeArrowheads="1" noChangeShapeType="1" noTextEdit="1"/>
        </xdr:cNvSpPr>
      </xdr:nvSpPr>
      <xdr:spPr bwMode="auto">
        <a:xfrm>
          <a:off x="4981575" y="83705700"/>
          <a:ext cx="1200150" cy="71437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12</xdr:col>
      <xdr:colOff>133350</xdr:colOff>
      <xdr:row>275</xdr:row>
      <xdr:rowOff>114300</xdr:rowOff>
    </xdr:from>
    <xdr:to>
      <xdr:col>20</xdr:col>
      <xdr:colOff>47625</xdr:colOff>
      <xdr:row>276</xdr:row>
      <xdr:rowOff>171450</xdr:rowOff>
    </xdr:to>
    <xdr:sp macro="" textlink="">
      <xdr:nvSpPr>
        <xdr:cNvPr id="35948" name="WordArt 108"/>
        <xdr:cNvSpPr>
          <a:spLocks noChangeArrowheads="1" noChangeShapeType="1" noTextEdit="1"/>
        </xdr:cNvSpPr>
      </xdr:nvSpPr>
      <xdr:spPr bwMode="auto">
        <a:xfrm>
          <a:off x="4581525" y="80219550"/>
          <a:ext cx="1743075" cy="3143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Μηχανή διαίρεσης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5</xdr:col>
      <xdr:colOff>104775</xdr:colOff>
      <xdr:row>256</xdr:row>
      <xdr:rowOff>114300</xdr:rowOff>
    </xdr:from>
    <xdr:to>
      <xdr:col>11</xdr:col>
      <xdr:colOff>228600</xdr:colOff>
      <xdr:row>256</xdr:row>
      <xdr:rowOff>714375</xdr:rowOff>
    </xdr:to>
    <xdr:sp macro="" textlink="">
      <xdr:nvSpPr>
        <xdr:cNvPr id="35949" name="WordArt 109"/>
        <xdr:cNvSpPr>
          <a:spLocks noChangeArrowheads="1" noChangeShapeType="1" noTextEdit="1"/>
        </xdr:cNvSpPr>
      </xdr:nvSpPr>
      <xdr:spPr bwMode="auto">
        <a:xfrm>
          <a:off x="2143125" y="74475975"/>
          <a:ext cx="2276475" cy="6000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Άσκηση 4</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5</xdr:col>
      <xdr:colOff>333375</xdr:colOff>
      <xdr:row>299</xdr:row>
      <xdr:rowOff>28575</xdr:rowOff>
    </xdr:from>
    <xdr:to>
      <xdr:col>9</xdr:col>
      <xdr:colOff>161925</xdr:colOff>
      <xdr:row>304</xdr:row>
      <xdr:rowOff>228600</xdr:rowOff>
    </xdr:to>
    <xdr:sp macro="" textlink="">
      <xdr:nvSpPr>
        <xdr:cNvPr id="35950" name="WordArt 110">
          <a:hlinkClick xmlns:r="http://schemas.openxmlformats.org/officeDocument/2006/relationships" r:id="rId2"/>
        </xdr:cNvPr>
        <xdr:cNvSpPr>
          <a:spLocks noChangeArrowheads="1" noChangeShapeType="1" noTextEdit="1"/>
        </xdr:cNvSpPr>
      </xdr:nvSpPr>
      <xdr:spPr bwMode="auto">
        <a:xfrm>
          <a:off x="2371725" y="86525100"/>
          <a:ext cx="1466850" cy="1438275"/>
        </a:xfrm>
        <a:prstGeom prst="rect">
          <a:avLst/>
        </a:prstGeom>
      </xdr:spPr>
      <xdr:txBody>
        <a:bodyPr wrap="none" fromWordArt="1">
          <a:prstTxWarp prst="textSlantUp">
            <a:avLst>
              <a:gd name="adj" fmla="val 32056"/>
            </a:avLst>
          </a:prstTxWarp>
        </a:bodyPr>
        <a:lstStyle/>
        <a:p>
          <a:pPr algn="ctr" rtl="0"/>
          <a:r>
            <a:rPr lang="el-GR" sz="3600" b="1"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Comic Sans MS"/>
            </a:rPr>
            <a:t>Τέλος</a:t>
          </a:r>
          <a:endParaRPr lang="en-GB" sz="3600" b="1"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Comic Sans MS"/>
          </a:endParaRPr>
        </a:p>
      </xdr:txBody>
    </xdr:sp>
    <xdr:clientData/>
  </xdr:twoCellAnchor>
  <xdr:twoCellAnchor>
    <xdr:from>
      <xdr:col>12</xdr:col>
      <xdr:colOff>28575</xdr:colOff>
      <xdr:row>296</xdr:row>
      <xdr:rowOff>171450</xdr:rowOff>
    </xdr:from>
    <xdr:to>
      <xdr:col>20</xdr:col>
      <xdr:colOff>533400</xdr:colOff>
      <xdr:row>298</xdr:row>
      <xdr:rowOff>171450</xdr:rowOff>
    </xdr:to>
    <xdr:sp macro="" textlink="">
      <xdr:nvSpPr>
        <xdr:cNvPr id="35951" name="AutoShape 111">
          <a:hlinkClick xmlns:r="http://schemas.openxmlformats.org/officeDocument/2006/relationships" r:id="rId3"/>
        </xdr:cNvPr>
        <xdr:cNvSpPr>
          <a:spLocks noChangeArrowheads="1"/>
        </xdr:cNvSpPr>
      </xdr:nvSpPr>
      <xdr:spPr bwMode="auto">
        <a:xfrm>
          <a:off x="4476750" y="8591550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12</xdr:col>
      <xdr:colOff>19050</xdr:colOff>
      <xdr:row>253</xdr:row>
      <xdr:rowOff>152400</xdr:rowOff>
    </xdr:from>
    <xdr:to>
      <xdr:col>20</xdr:col>
      <xdr:colOff>523875</xdr:colOff>
      <xdr:row>255</xdr:row>
      <xdr:rowOff>200025</xdr:rowOff>
    </xdr:to>
    <xdr:sp macro="" textlink="">
      <xdr:nvSpPr>
        <xdr:cNvPr id="35952" name="AutoShape 112">
          <a:hlinkClick xmlns:r="http://schemas.openxmlformats.org/officeDocument/2006/relationships" r:id="rId4"/>
        </xdr:cNvPr>
        <xdr:cNvSpPr>
          <a:spLocks noChangeArrowheads="1"/>
        </xdr:cNvSpPr>
      </xdr:nvSpPr>
      <xdr:spPr bwMode="auto">
        <a:xfrm>
          <a:off x="4467225" y="7379970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12</xdr:col>
      <xdr:colOff>0</xdr:colOff>
      <xdr:row>198</xdr:row>
      <xdr:rowOff>38100</xdr:rowOff>
    </xdr:from>
    <xdr:to>
      <xdr:col>20</xdr:col>
      <xdr:colOff>504825</xdr:colOff>
      <xdr:row>200</xdr:row>
      <xdr:rowOff>85725</xdr:rowOff>
    </xdr:to>
    <xdr:sp macro="" textlink="">
      <xdr:nvSpPr>
        <xdr:cNvPr id="35953" name="AutoShape 113">
          <a:hlinkClick xmlns:r="http://schemas.openxmlformats.org/officeDocument/2006/relationships" r:id="rId5"/>
        </xdr:cNvPr>
        <xdr:cNvSpPr>
          <a:spLocks noChangeArrowheads="1"/>
        </xdr:cNvSpPr>
      </xdr:nvSpPr>
      <xdr:spPr bwMode="auto">
        <a:xfrm>
          <a:off x="4448175" y="5955030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12</xdr:col>
      <xdr:colOff>19050</xdr:colOff>
      <xdr:row>108</xdr:row>
      <xdr:rowOff>47625</xdr:rowOff>
    </xdr:from>
    <xdr:to>
      <xdr:col>20</xdr:col>
      <xdr:colOff>523875</xdr:colOff>
      <xdr:row>110</xdr:row>
      <xdr:rowOff>57150</xdr:rowOff>
    </xdr:to>
    <xdr:sp macro="" textlink="">
      <xdr:nvSpPr>
        <xdr:cNvPr id="35954" name="AutoShape 114">
          <a:hlinkClick xmlns:r="http://schemas.openxmlformats.org/officeDocument/2006/relationships" r:id="rId6"/>
        </xdr:cNvPr>
        <xdr:cNvSpPr>
          <a:spLocks noChangeArrowheads="1"/>
        </xdr:cNvSpPr>
      </xdr:nvSpPr>
      <xdr:spPr bwMode="auto">
        <a:xfrm>
          <a:off x="4467225" y="30660975"/>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12</xdr:col>
      <xdr:colOff>95250</xdr:colOff>
      <xdr:row>61</xdr:row>
      <xdr:rowOff>19050</xdr:rowOff>
    </xdr:from>
    <xdr:to>
      <xdr:col>20</xdr:col>
      <xdr:colOff>600075</xdr:colOff>
      <xdr:row>63</xdr:row>
      <xdr:rowOff>28575</xdr:rowOff>
    </xdr:to>
    <xdr:sp macro="" textlink="">
      <xdr:nvSpPr>
        <xdr:cNvPr id="35955" name="AutoShape 115">
          <a:hlinkClick xmlns:r="http://schemas.openxmlformats.org/officeDocument/2006/relationships" r:id="rId7"/>
        </xdr:cNvPr>
        <xdr:cNvSpPr>
          <a:spLocks noChangeArrowheads="1"/>
        </xdr:cNvSpPr>
      </xdr:nvSpPr>
      <xdr:spPr bwMode="auto">
        <a:xfrm>
          <a:off x="4543425" y="17630775"/>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14</xdr:col>
      <xdr:colOff>76200</xdr:colOff>
      <xdr:row>0</xdr:row>
      <xdr:rowOff>142875</xdr:rowOff>
    </xdr:from>
    <xdr:to>
      <xdr:col>21</xdr:col>
      <xdr:colOff>9525</xdr:colOff>
      <xdr:row>0</xdr:row>
      <xdr:rowOff>647700</xdr:rowOff>
    </xdr:to>
    <xdr:sp macro="" textlink="">
      <xdr:nvSpPr>
        <xdr:cNvPr id="35956" name="AutoShape 116">
          <a:hlinkClick xmlns:r="http://schemas.openxmlformats.org/officeDocument/2006/relationships" r:id="rId8"/>
        </xdr:cNvPr>
        <xdr:cNvSpPr>
          <a:spLocks noChangeArrowheads="1"/>
        </xdr:cNvSpPr>
      </xdr:nvSpPr>
      <xdr:spPr bwMode="auto">
        <a:xfrm>
          <a:off x="4914900" y="142875"/>
          <a:ext cx="2057400"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4</xdr:col>
      <xdr:colOff>19050</xdr:colOff>
      <xdr:row>36</xdr:row>
      <xdr:rowOff>85725</xdr:rowOff>
    </xdr:from>
    <xdr:to>
      <xdr:col>4</xdr:col>
      <xdr:colOff>266700</xdr:colOff>
      <xdr:row>37</xdr:row>
      <xdr:rowOff>228600</xdr:rowOff>
    </xdr:to>
    <xdr:sp macro="" textlink="">
      <xdr:nvSpPr>
        <xdr:cNvPr id="36135" name="Text Box 295"/>
        <xdr:cNvSpPr txBox="1">
          <a:spLocks noChangeArrowheads="1"/>
        </xdr:cNvSpPr>
      </xdr:nvSpPr>
      <xdr:spPr bwMode="auto">
        <a:xfrm>
          <a:off x="1724025" y="101346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45</xdr:row>
      <xdr:rowOff>76200</xdr:rowOff>
    </xdr:from>
    <xdr:to>
      <xdr:col>4</xdr:col>
      <xdr:colOff>257175</xdr:colOff>
      <xdr:row>46</xdr:row>
      <xdr:rowOff>219075</xdr:rowOff>
    </xdr:to>
    <xdr:sp macro="" textlink="">
      <xdr:nvSpPr>
        <xdr:cNvPr id="36136" name="Text Box 296"/>
        <xdr:cNvSpPr txBox="1">
          <a:spLocks noChangeArrowheads="1"/>
        </xdr:cNvSpPr>
      </xdr:nvSpPr>
      <xdr:spPr bwMode="auto">
        <a:xfrm>
          <a:off x="1714500" y="125444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54</xdr:row>
      <xdr:rowOff>76200</xdr:rowOff>
    </xdr:from>
    <xdr:to>
      <xdr:col>4</xdr:col>
      <xdr:colOff>257175</xdr:colOff>
      <xdr:row>55</xdr:row>
      <xdr:rowOff>219075</xdr:rowOff>
    </xdr:to>
    <xdr:sp macro="" textlink="">
      <xdr:nvSpPr>
        <xdr:cNvPr id="36137" name="Text Box 297"/>
        <xdr:cNvSpPr txBox="1">
          <a:spLocks noChangeArrowheads="1"/>
        </xdr:cNvSpPr>
      </xdr:nvSpPr>
      <xdr:spPr bwMode="auto">
        <a:xfrm>
          <a:off x="1714500" y="158019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70</xdr:row>
      <xdr:rowOff>76200</xdr:rowOff>
    </xdr:from>
    <xdr:to>
      <xdr:col>4</xdr:col>
      <xdr:colOff>295275</xdr:colOff>
      <xdr:row>71</xdr:row>
      <xdr:rowOff>219075</xdr:rowOff>
    </xdr:to>
    <xdr:sp macro="" textlink="">
      <xdr:nvSpPr>
        <xdr:cNvPr id="36138" name="Text Box 298"/>
        <xdr:cNvSpPr txBox="1">
          <a:spLocks noChangeArrowheads="1"/>
        </xdr:cNvSpPr>
      </xdr:nvSpPr>
      <xdr:spPr bwMode="auto">
        <a:xfrm>
          <a:off x="1752600" y="206025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74</xdr:row>
      <xdr:rowOff>76200</xdr:rowOff>
    </xdr:from>
    <xdr:to>
      <xdr:col>4</xdr:col>
      <xdr:colOff>295275</xdr:colOff>
      <xdr:row>75</xdr:row>
      <xdr:rowOff>219075</xdr:rowOff>
    </xdr:to>
    <xdr:sp macro="" textlink="">
      <xdr:nvSpPr>
        <xdr:cNvPr id="36141" name="Text Box 301"/>
        <xdr:cNvSpPr txBox="1">
          <a:spLocks noChangeArrowheads="1"/>
        </xdr:cNvSpPr>
      </xdr:nvSpPr>
      <xdr:spPr bwMode="auto">
        <a:xfrm>
          <a:off x="1752600" y="2174557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74</xdr:row>
      <xdr:rowOff>76200</xdr:rowOff>
    </xdr:from>
    <xdr:to>
      <xdr:col>4</xdr:col>
      <xdr:colOff>295275</xdr:colOff>
      <xdr:row>75</xdr:row>
      <xdr:rowOff>219075</xdr:rowOff>
    </xdr:to>
    <xdr:sp macro="" textlink="">
      <xdr:nvSpPr>
        <xdr:cNvPr id="36142" name="Text Box 302"/>
        <xdr:cNvSpPr txBox="1">
          <a:spLocks noChangeArrowheads="1"/>
        </xdr:cNvSpPr>
      </xdr:nvSpPr>
      <xdr:spPr bwMode="auto">
        <a:xfrm>
          <a:off x="1752600" y="2174557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82</xdr:row>
      <xdr:rowOff>76200</xdr:rowOff>
    </xdr:from>
    <xdr:to>
      <xdr:col>4</xdr:col>
      <xdr:colOff>295275</xdr:colOff>
      <xdr:row>83</xdr:row>
      <xdr:rowOff>219075</xdr:rowOff>
    </xdr:to>
    <xdr:sp macro="" textlink="">
      <xdr:nvSpPr>
        <xdr:cNvPr id="36148" name="Text Box 308"/>
        <xdr:cNvSpPr txBox="1">
          <a:spLocks noChangeArrowheads="1"/>
        </xdr:cNvSpPr>
      </xdr:nvSpPr>
      <xdr:spPr bwMode="auto">
        <a:xfrm>
          <a:off x="1752600" y="23783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86</xdr:row>
      <xdr:rowOff>76200</xdr:rowOff>
    </xdr:from>
    <xdr:to>
      <xdr:col>4</xdr:col>
      <xdr:colOff>295275</xdr:colOff>
      <xdr:row>87</xdr:row>
      <xdr:rowOff>219075</xdr:rowOff>
    </xdr:to>
    <xdr:sp macro="" textlink="">
      <xdr:nvSpPr>
        <xdr:cNvPr id="36151" name="Text Box 311"/>
        <xdr:cNvSpPr txBox="1">
          <a:spLocks noChangeArrowheads="1"/>
        </xdr:cNvSpPr>
      </xdr:nvSpPr>
      <xdr:spPr bwMode="auto">
        <a:xfrm>
          <a:off x="1752600" y="247935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86</xdr:row>
      <xdr:rowOff>76200</xdr:rowOff>
    </xdr:from>
    <xdr:to>
      <xdr:col>4</xdr:col>
      <xdr:colOff>295275</xdr:colOff>
      <xdr:row>87</xdr:row>
      <xdr:rowOff>219075</xdr:rowOff>
    </xdr:to>
    <xdr:sp macro="" textlink="">
      <xdr:nvSpPr>
        <xdr:cNvPr id="36152" name="Text Box 312"/>
        <xdr:cNvSpPr txBox="1">
          <a:spLocks noChangeArrowheads="1"/>
        </xdr:cNvSpPr>
      </xdr:nvSpPr>
      <xdr:spPr bwMode="auto">
        <a:xfrm>
          <a:off x="1752600" y="247935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90</xdr:row>
      <xdr:rowOff>76200</xdr:rowOff>
    </xdr:from>
    <xdr:to>
      <xdr:col>4</xdr:col>
      <xdr:colOff>295275</xdr:colOff>
      <xdr:row>91</xdr:row>
      <xdr:rowOff>219075</xdr:rowOff>
    </xdr:to>
    <xdr:sp macro="" textlink="">
      <xdr:nvSpPr>
        <xdr:cNvPr id="36155" name="Text Box 315"/>
        <xdr:cNvSpPr txBox="1">
          <a:spLocks noChangeArrowheads="1"/>
        </xdr:cNvSpPr>
      </xdr:nvSpPr>
      <xdr:spPr bwMode="auto">
        <a:xfrm>
          <a:off x="1752600" y="2585085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90</xdr:row>
      <xdr:rowOff>76200</xdr:rowOff>
    </xdr:from>
    <xdr:to>
      <xdr:col>4</xdr:col>
      <xdr:colOff>295275</xdr:colOff>
      <xdr:row>91</xdr:row>
      <xdr:rowOff>219075</xdr:rowOff>
    </xdr:to>
    <xdr:sp macro="" textlink="">
      <xdr:nvSpPr>
        <xdr:cNvPr id="36156" name="Text Box 316"/>
        <xdr:cNvSpPr txBox="1">
          <a:spLocks noChangeArrowheads="1"/>
        </xdr:cNvSpPr>
      </xdr:nvSpPr>
      <xdr:spPr bwMode="auto">
        <a:xfrm>
          <a:off x="1752600" y="2585085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90</xdr:row>
      <xdr:rowOff>76200</xdr:rowOff>
    </xdr:from>
    <xdr:to>
      <xdr:col>4</xdr:col>
      <xdr:colOff>295275</xdr:colOff>
      <xdr:row>91</xdr:row>
      <xdr:rowOff>219075</xdr:rowOff>
    </xdr:to>
    <xdr:sp macro="" textlink="">
      <xdr:nvSpPr>
        <xdr:cNvPr id="36157" name="Text Box 317"/>
        <xdr:cNvSpPr txBox="1">
          <a:spLocks noChangeArrowheads="1"/>
        </xdr:cNvSpPr>
      </xdr:nvSpPr>
      <xdr:spPr bwMode="auto">
        <a:xfrm>
          <a:off x="1752600" y="25850850"/>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94</xdr:row>
      <xdr:rowOff>76200</xdr:rowOff>
    </xdr:from>
    <xdr:to>
      <xdr:col>4</xdr:col>
      <xdr:colOff>295275</xdr:colOff>
      <xdr:row>95</xdr:row>
      <xdr:rowOff>219075</xdr:rowOff>
    </xdr:to>
    <xdr:sp macro="" textlink="">
      <xdr:nvSpPr>
        <xdr:cNvPr id="36160" name="Text Box 320"/>
        <xdr:cNvSpPr txBox="1">
          <a:spLocks noChangeArrowheads="1"/>
        </xdr:cNvSpPr>
      </xdr:nvSpPr>
      <xdr:spPr bwMode="auto">
        <a:xfrm>
          <a:off x="1752600" y="26965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94</xdr:row>
      <xdr:rowOff>76200</xdr:rowOff>
    </xdr:from>
    <xdr:to>
      <xdr:col>4</xdr:col>
      <xdr:colOff>295275</xdr:colOff>
      <xdr:row>95</xdr:row>
      <xdr:rowOff>219075</xdr:rowOff>
    </xdr:to>
    <xdr:sp macro="" textlink="">
      <xdr:nvSpPr>
        <xdr:cNvPr id="36161" name="Text Box 321"/>
        <xdr:cNvSpPr txBox="1">
          <a:spLocks noChangeArrowheads="1"/>
        </xdr:cNvSpPr>
      </xdr:nvSpPr>
      <xdr:spPr bwMode="auto">
        <a:xfrm>
          <a:off x="1752600" y="26965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94</xdr:row>
      <xdr:rowOff>76200</xdr:rowOff>
    </xdr:from>
    <xdr:to>
      <xdr:col>4</xdr:col>
      <xdr:colOff>295275</xdr:colOff>
      <xdr:row>95</xdr:row>
      <xdr:rowOff>219075</xdr:rowOff>
    </xdr:to>
    <xdr:sp macro="" textlink="">
      <xdr:nvSpPr>
        <xdr:cNvPr id="36162" name="Text Box 322"/>
        <xdr:cNvSpPr txBox="1">
          <a:spLocks noChangeArrowheads="1"/>
        </xdr:cNvSpPr>
      </xdr:nvSpPr>
      <xdr:spPr bwMode="auto">
        <a:xfrm>
          <a:off x="1752600" y="26965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94</xdr:row>
      <xdr:rowOff>76200</xdr:rowOff>
    </xdr:from>
    <xdr:to>
      <xdr:col>4</xdr:col>
      <xdr:colOff>295275</xdr:colOff>
      <xdr:row>95</xdr:row>
      <xdr:rowOff>219075</xdr:rowOff>
    </xdr:to>
    <xdr:sp macro="" textlink="">
      <xdr:nvSpPr>
        <xdr:cNvPr id="36163" name="Text Box 323"/>
        <xdr:cNvSpPr txBox="1">
          <a:spLocks noChangeArrowheads="1"/>
        </xdr:cNvSpPr>
      </xdr:nvSpPr>
      <xdr:spPr bwMode="auto">
        <a:xfrm>
          <a:off x="1752600" y="269652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6166" name="Text Box 326"/>
        <xdr:cNvSpPr txBox="1">
          <a:spLocks noChangeArrowheads="1"/>
        </xdr:cNvSpPr>
      </xdr:nvSpPr>
      <xdr:spPr bwMode="auto">
        <a:xfrm>
          <a:off x="1752600" y="27974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6167" name="Text Box 327"/>
        <xdr:cNvSpPr txBox="1">
          <a:spLocks noChangeArrowheads="1"/>
        </xdr:cNvSpPr>
      </xdr:nvSpPr>
      <xdr:spPr bwMode="auto">
        <a:xfrm>
          <a:off x="1752600" y="27974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6168" name="Text Box 328"/>
        <xdr:cNvSpPr txBox="1">
          <a:spLocks noChangeArrowheads="1"/>
        </xdr:cNvSpPr>
      </xdr:nvSpPr>
      <xdr:spPr bwMode="auto">
        <a:xfrm>
          <a:off x="1752600" y="27974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6169" name="Text Box 329"/>
        <xdr:cNvSpPr txBox="1">
          <a:spLocks noChangeArrowheads="1"/>
        </xdr:cNvSpPr>
      </xdr:nvSpPr>
      <xdr:spPr bwMode="auto">
        <a:xfrm>
          <a:off x="1752600" y="27974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98</xdr:row>
      <xdr:rowOff>76200</xdr:rowOff>
    </xdr:from>
    <xdr:to>
      <xdr:col>4</xdr:col>
      <xdr:colOff>295275</xdr:colOff>
      <xdr:row>99</xdr:row>
      <xdr:rowOff>219075</xdr:rowOff>
    </xdr:to>
    <xdr:sp macro="" textlink="">
      <xdr:nvSpPr>
        <xdr:cNvPr id="36170" name="Text Box 330"/>
        <xdr:cNvSpPr txBox="1">
          <a:spLocks noChangeArrowheads="1"/>
        </xdr:cNvSpPr>
      </xdr:nvSpPr>
      <xdr:spPr bwMode="auto">
        <a:xfrm>
          <a:off x="1752600" y="279749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6173" name="Text Box 333"/>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6174" name="Text Box 334"/>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6175" name="Text Box 335"/>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6176" name="Text Box 336"/>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6177" name="Text Box 337"/>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102</xdr:row>
      <xdr:rowOff>76200</xdr:rowOff>
    </xdr:from>
    <xdr:to>
      <xdr:col>4</xdr:col>
      <xdr:colOff>295275</xdr:colOff>
      <xdr:row>103</xdr:row>
      <xdr:rowOff>219075</xdr:rowOff>
    </xdr:to>
    <xdr:sp macro="" textlink="">
      <xdr:nvSpPr>
        <xdr:cNvPr id="36178" name="Text Box 338"/>
        <xdr:cNvSpPr txBox="1">
          <a:spLocks noChangeArrowheads="1"/>
        </xdr:cNvSpPr>
      </xdr:nvSpPr>
      <xdr:spPr bwMode="auto">
        <a:xfrm>
          <a:off x="1752600" y="29156025"/>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1" name="Text Box 341"/>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2" name="Text Box 342"/>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3" name="Text Box 343"/>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4" name="Text Box 344"/>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5" name="Text Box 345"/>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6" name="Text Box 346"/>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106</xdr:row>
      <xdr:rowOff>76200</xdr:rowOff>
    </xdr:from>
    <xdr:to>
      <xdr:col>4</xdr:col>
      <xdr:colOff>295275</xdr:colOff>
      <xdr:row>107</xdr:row>
      <xdr:rowOff>219075</xdr:rowOff>
    </xdr:to>
    <xdr:sp macro="" textlink="">
      <xdr:nvSpPr>
        <xdr:cNvPr id="36187" name="Text Box 347"/>
        <xdr:cNvSpPr txBox="1">
          <a:spLocks noChangeArrowheads="1"/>
        </xdr:cNvSpPr>
      </xdr:nvSpPr>
      <xdr:spPr bwMode="auto">
        <a:xfrm>
          <a:off x="1752600" y="301752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118</xdr:row>
      <xdr:rowOff>76200</xdr:rowOff>
    </xdr:from>
    <xdr:to>
      <xdr:col>4</xdr:col>
      <xdr:colOff>257175</xdr:colOff>
      <xdr:row>119</xdr:row>
      <xdr:rowOff>219075</xdr:rowOff>
    </xdr:to>
    <xdr:sp macro="" textlink="">
      <xdr:nvSpPr>
        <xdr:cNvPr id="36190" name="Text Box 350"/>
        <xdr:cNvSpPr txBox="1">
          <a:spLocks noChangeArrowheads="1"/>
        </xdr:cNvSpPr>
      </xdr:nvSpPr>
      <xdr:spPr bwMode="auto">
        <a:xfrm>
          <a:off x="1714500" y="340995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126</xdr:row>
      <xdr:rowOff>76200</xdr:rowOff>
    </xdr:from>
    <xdr:to>
      <xdr:col>4</xdr:col>
      <xdr:colOff>257175</xdr:colOff>
      <xdr:row>127</xdr:row>
      <xdr:rowOff>219075</xdr:rowOff>
    </xdr:to>
    <xdr:sp macro="" textlink="">
      <xdr:nvSpPr>
        <xdr:cNvPr id="36191" name="Text Box 351"/>
        <xdr:cNvSpPr txBox="1">
          <a:spLocks noChangeArrowheads="1"/>
        </xdr:cNvSpPr>
      </xdr:nvSpPr>
      <xdr:spPr bwMode="auto">
        <a:xfrm>
          <a:off x="1714500" y="365664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134</xdr:row>
      <xdr:rowOff>76200</xdr:rowOff>
    </xdr:from>
    <xdr:to>
      <xdr:col>4</xdr:col>
      <xdr:colOff>257175</xdr:colOff>
      <xdr:row>135</xdr:row>
      <xdr:rowOff>219075</xdr:rowOff>
    </xdr:to>
    <xdr:sp macro="" textlink="">
      <xdr:nvSpPr>
        <xdr:cNvPr id="36192" name="Text Box 352"/>
        <xdr:cNvSpPr txBox="1">
          <a:spLocks noChangeArrowheads="1"/>
        </xdr:cNvSpPr>
      </xdr:nvSpPr>
      <xdr:spPr bwMode="auto">
        <a:xfrm>
          <a:off x="1714500" y="391477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142</xdr:row>
      <xdr:rowOff>76200</xdr:rowOff>
    </xdr:from>
    <xdr:to>
      <xdr:col>4</xdr:col>
      <xdr:colOff>257175</xdr:colOff>
      <xdr:row>143</xdr:row>
      <xdr:rowOff>219075</xdr:rowOff>
    </xdr:to>
    <xdr:sp macro="" textlink="">
      <xdr:nvSpPr>
        <xdr:cNvPr id="36193" name="Text Box 353"/>
        <xdr:cNvSpPr txBox="1">
          <a:spLocks noChangeArrowheads="1"/>
        </xdr:cNvSpPr>
      </xdr:nvSpPr>
      <xdr:spPr bwMode="auto">
        <a:xfrm>
          <a:off x="1714500" y="417004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150</xdr:row>
      <xdr:rowOff>76200</xdr:rowOff>
    </xdr:from>
    <xdr:to>
      <xdr:col>4</xdr:col>
      <xdr:colOff>257175</xdr:colOff>
      <xdr:row>151</xdr:row>
      <xdr:rowOff>219075</xdr:rowOff>
    </xdr:to>
    <xdr:sp macro="" textlink="">
      <xdr:nvSpPr>
        <xdr:cNvPr id="36194" name="Text Box 354"/>
        <xdr:cNvSpPr txBox="1">
          <a:spLocks noChangeArrowheads="1"/>
        </xdr:cNvSpPr>
      </xdr:nvSpPr>
      <xdr:spPr bwMode="auto">
        <a:xfrm>
          <a:off x="1714500" y="442817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158</xdr:row>
      <xdr:rowOff>76200</xdr:rowOff>
    </xdr:from>
    <xdr:to>
      <xdr:col>4</xdr:col>
      <xdr:colOff>257175</xdr:colOff>
      <xdr:row>159</xdr:row>
      <xdr:rowOff>219075</xdr:rowOff>
    </xdr:to>
    <xdr:sp macro="" textlink="">
      <xdr:nvSpPr>
        <xdr:cNvPr id="36195" name="Text Box 355"/>
        <xdr:cNvSpPr txBox="1">
          <a:spLocks noChangeArrowheads="1"/>
        </xdr:cNvSpPr>
      </xdr:nvSpPr>
      <xdr:spPr bwMode="auto">
        <a:xfrm>
          <a:off x="1714500" y="468439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166</xdr:row>
      <xdr:rowOff>76200</xdr:rowOff>
    </xdr:from>
    <xdr:to>
      <xdr:col>4</xdr:col>
      <xdr:colOff>257175</xdr:colOff>
      <xdr:row>167</xdr:row>
      <xdr:rowOff>219075</xdr:rowOff>
    </xdr:to>
    <xdr:sp macro="" textlink="">
      <xdr:nvSpPr>
        <xdr:cNvPr id="36196" name="Text Box 356"/>
        <xdr:cNvSpPr txBox="1">
          <a:spLocks noChangeArrowheads="1"/>
        </xdr:cNvSpPr>
      </xdr:nvSpPr>
      <xdr:spPr bwMode="auto">
        <a:xfrm>
          <a:off x="1714500" y="494252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174</xdr:row>
      <xdr:rowOff>76200</xdr:rowOff>
    </xdr:from>
    <xdr:to>
      <xdr:col>4</xdr:col>
      <xdr:colOff>257175</xdr:colOff>
      <xdr:row>175</xdr:row>
      <xdr:rowOff>219075</xdr:rowOff>
    </xdr:to>
    <xdr:sp macro="" textlink="">
      <xdr:nvSpPr>
        <xdr:cNvPr id="36197" name="Text Box 357"/>
        <xdr:cNvSpPr txBox="1">
          <a:spLocks noChangeArrowheads="1"/>
        </xdr:cNvSpPr>
      </xdr:nvSpPr>
      <xdr:spPr bwMode="auto">
        <a:xfrm>
          <a:off x="1714500" y="519779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182</xdr:row>
      <xdr:rowOff>76200</xdr:rowOff>
    </xdr:from>
    <xdr:to>
      <xdr:col>4</xdr:col>
      <xdr:colOff>257175</xdr:colOff>
      <xdr:row>183</xdr:row>
      <xdr:rowOff>219075</xdr:rowOff>
    </xdr:to>
    <xdr:sp macro="" textlink="">
      <xdr:nvSpPr>
        <xdr:cNvPr id="36198" name="Text Box 358"/>
        <xdr:cNvSpPr txBox="1">
          <a:spLocks noChangeArrowheads="1"/>
        </xdr:cNvSpPr>
      </xdr:nvSpPr>
      <xdr:spPr bwMode="auto">
        <a:xfrm>
          <a:off x="1714500" y="545592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9525</xdr:colOff>
      <xdr:row>190</xdr:row>
      <xdr:rowOff>76200</xdr:rowOff>
    </xdr:from>
    <xdr:to>
      <xdr:col>4</xdr:col>
      <xdr:colOff>257175</xdr:colOff>
      <xdr:row>191</xdr:row>
      <xdr:rowOff>219075</xdr:rowOff>
    </xdr:to>
    <xdr:sp macro="" textlink="">
      <xdr:nvSpPr>
        <xdr:cNvPr id="36200" name="Text Box 360"/>
        <xdr:cNvSpPr txBox="1">
          <a:spLocks noChangeArrowheads="1"/>
        </xdr:cNvSpPr>
      </xdr:nvSpPr>
      <xdr:spPr bwMode="auto">
        <a:xfrm>
          <a:off x="1714500" y="571309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208</xdr:row>
      <xdr:rowOff>66675</xdr:rowOff>
    </xdr:from>
    <xdr:to>
      <xdr:col>5</xdr:col>
      <xdr:colOff>19050</xdr:colOff>
      <xdr:row>209</xdr:row>
      <xdr:rowOff>209550</xdr:rowOff>
    </xdr:to>
    <xdr:sp macro="" textlink="">
      <xdr:nvSpPr>
        <xdr:cNvPr id="36201" name="Text Box 361"/>
        <xdr:cNvSpPr txBox="1">
          <a:spLocks noChangeArrowheads="1"/>
        </xdr:cNvSpPr>
      </xdr:nvSpPr>
      <xdr:spPr bwMode="auto">
        <a:xfrm>
          <a:off x="1809750" y="62569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208</xdr:row>
      <xdr:rowOff>76200</xdr:rowOff>
    </xdr:from>
    <xdr:to>
      <xdr:col>6</xdr:col>
      <xdr:colOff>295275</xdr:colOff>
      <xdr:row>209</xdr:row>
      <xdr:rowOff>219075</xdr:rowOff>
    </xdr:to>
    <xdr:sp macro="" textlink="">
      <xdr:nvSpPr>
        <xdr:cNvPr id="36202" name="Text Box 362"/>
        <xdr:cNvSpPr txBox="1">
          <a:spLocks noChangeArrowheads="1"/>
        </xdr:cNvSpPr>
      </xdr:nvSpPr>
      <xdr:spPr bwMode="auto">
        <a:xfrm>
          <a:off x="2752725" y="62579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213</xdr:row>
      <xdr:rowOff>66675</xdr:rowOff>
    </xdr:from>
    <xdr:to>
      <xdr:col>5</xdr:col>
      <xdr:colOff>19050</xdr:colOff>
      <xdr:row>214</xdr:row>
      <xdr:rowOff>209550</xdr:rowOff>
    </xdr:to>
    <xdr:sp macro="" textlink="">
      <xdr:nvSpPr>
        <xdr:cNvPr id="36205" name="Text Box 365"/>
        <xdr:cNvSpPr txBox="1">
          <a:spLocks noChangeArrowheads="1"/>
        </xdr:cNvSpPr>
      </xdr:nvSpPr>
      <xdr:spPr bwMode="auto">
        <a:xfrm>
          <a:off x="1809750" y="63712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213</xdr:row>
      <xdr:rowOff>76200</xdr:rowOff>
    </xdr:from>
    <xdr:to>
      <xdr:col>6</xdr:col>
      <xdr:colOff>295275</xdr:colOff>
      <xdr:row>214</xdr:row>
      <xdr:rowOff>219075</xdr:rowOff>
    </xdr:to>
    <xdr:sp macro="" textlink="">
      <xdr:nvSpPr>
        <xdr:cNvPr id="36206" name="Text Box 366"/>
        <xdr:cNvSpPr txBox="1">
          <a:spLocks noChangeArrowheads="1"/>
        </xdr:cNvSpPr>
      </xdr:nvSpPr>
      <xdr:spPr bwMode="auto">
        <a:xfrm>
          <a:off x="2752725" y="63722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213</xdr:row>
      <xdr:rowOff>66675</xdr:rowOff>
    </xdr:from>
    <xdr:to>
      <xdr:col>5</xdr:col>
      <xdr:colOff>19050</xdr:colOff>
      <xdr:row>214</xdr:row>
      <xdr:rowOff>209550</xdr:rowOff>
    </xdr:to>
    <xdr:sp macro="" textlink="">
      <xdr:nvSpPr>
        <xdr:cNvPr id="36207" name="Text Box 367"/>
        <xdr:cNvSpPr txBox="1">
          <a:spLocks noChangeArrowheads="1"/>
        </xdr:cNvSpPr>
      </xdr:nvSpPr>
      <xdr:spPr bwMode="auto">
        <a:xfrm>
          <a:off x="1809750" y="63712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213</xdr:row>
      <xdr:rowOff>76200</xdr:rowOff>
    </xdr:from>
    <xdr:to>
      <xdr:col>6</xdr:col>
      <xdr:colOff>295275</xdr:colOff>
      <xdr:row>214</xdr:row>
      <xdr:rowOff>219075</xdr:rowOff>
    </xdr:to>
    <xdr:sp macro="" textlink="">
      <xdr:nvSpPr>
        <xdr:cNvPr id="36208" name="Text Box 368"/>
        <xdr:cNvSpPr txBox="1">
          <a:spLocks noChangeArrowheads="1"/>
        </xdr:cNvSpPr>
      </xdr:nvSpPr>
      <xdr:spPr bwMode="auto">
        <a:xfrm>
          <a:off x="2752725" y="63722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217</xdr:row>
      <xdr:rowOff>66675</xdr:rowOff>
    </xdr:from>
    <xdr:to>
      <xdr:col>5</xdr:col>
      <xdr:colOff>19050</xdr:colOff>
      <xdr:row>218</xdr:row>
      <xdr:rowOff>209550</xdr:rowOff>
    </xdr:to>
    <xdr:sp macro="" textlink="">
      <xdr:nvSpPr>
        <xdr:cNvPr id="36213" name="Text Box 373"/>
        <xdr:cNvSpPr txBox="1">
          <a:spLocks noChangeArrowheads="1"/>
        </xdr:cNvSpPr>
      </xdr:nvSpPr>
      <xdr:spPr bwMode="auto">
        <a:xfrm>
          <a:off x="1809750" y="64665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217</xdr:row>
      <xdr:rowOff>76200</xdr:rowOff>
    </xdr:from>
    <xdr:to>
      <xdr:col>6</xdr:col>
      <xdr:colOff>295275</xdr:colOff>
      <xdr:row>218</xdr:row>
      <xdr:rowOff>219075</xdr:rowOff>
    </xdr:to>
    <xdr:sp macro="" textlink="">
      <xdr:nvSpPr>
        <xdr:cNvPr id="36214" name="Text Box 374"/>
        <xdr:cNvSpPr txBox="1">
          <a:spLocks noChangeArrowheads="1"/>
        </xdr:cNvSpPr>
      </xdr:nvSpPr>
      <xdr:spPr bwMode="auto">
        <a:xfrm>
          <a:off x="2752725" y="64674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217</xdr:row>
      <xdr:rowOff>66675</xdr:rowOff>
    </xdr:from>
    <xdr:to>
      <xdr:col>5</xdr:col>
      <xdr:colOff>19050</xdr:colOff>
      <xdr:row>218</xdr:row>
      <xdr:rowOff>209550</xdr:rowOff>
    </xdr:to>
    <xdr:sp macro="" textlink="">
      <xdr:nvSpPr>
        <xdr:cNvPr id="36215" name="Text Box 375"/>
        <xdr:cNvSpPr txBox="1">
          <a:spLocks noChangeArrowheads="1"/>
        </xdr:cNvSpPr>
      </xdr:nvSpPr>
      <xdr:spPr bwMode="auto">
        <a:xfrm>
          <a:off x="1809750" y="64665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217</xdr:row>
      <xdr:rowOff>76200</xdr:rowOff>
    </xdr:from>
    <xdr:to>
      <xdr:col>6</xdr:col>
      <xdr:colOff>295275</xdr:colOff>
      <xdr:row>218</xdr:row>
      <xdr:rowOff>219075</xdr:rowOff>
    </xdr:to>
    <xdr:sp macro="" textlink="">
      <xdr:nvSpPr>
        <xdr:cNvPr id="36216" name="Text Box 376"/>
        <xdr:cNvSpPr txBox="1">
          <a:spLocks noChangeArrowheads="1"/>
        </xdr:cNvSpPr>
      </xdr:nvSpPr>
      <xdr:spPr bwMode="auto">
        <a:xfrm>
          <a:off x="2752725" y="64674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217</xdr:row>
      <xdr:rowOff>66675</xdr:rowOff>
    </xdr:from>
    <xdr:to>
      <xdr:col>5</xdr:col>
      <xdr:colOff>19050</xdr:colOff>
      <xdr:row>218</xdr:row>
      <xdr:rowOff>209550</xdr:rowOff>
    </xdr:to>
    <xdr:sp macro="" textlink="">
      <xdr:nvSpPr>
        <xdr:cNvPr id="36217" name="Text Box 377"/>
        <xdr:cNvSpPr txBox="1">
          <a:spLocks noChangeArrowheads="1"/>
        </xdr:cNvSpPr>
      </xdr:nvSpPr>
      <xdr:spPr bwMode="auto">
        <a:xfrm>
          <a:off x="1809750" y="64665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217</xdr:row>
      <xdr:rowOff>76200</xdr:rowOff>
    </xdr:from>
    <xdr:to>
      <xdr:col>6</xdr:col>
      <xdr:colOff>295275</xdr:colOff>
      <xdr:row>218</xdr:row>
      <xdr:rowOff>219075</xdr:rowOff>
    </xdr:to>
    <xdr:sp macro="" textlink="">
      <xdr:nvSpPr>
        <xdr:cNvPr id="36218" name="Text Box 378"/>
        <xdr:cNvSpPr txBox="1">
          <a:spLocks noChangeArrowheads="1"/>
        </xdr:cNvSpPr>
      </xdr:nvSpPr>
      <xdr:spPr bwMode="auto">
        <a:xfrm>
          <a:off x="2752725" y="64674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221</xdr:row>
      <xdr:rowOff>66675</xdr:rowOff>
    </xdr:from>
    <xdr:to>
      <xdr:col>5</xdr:col>
      <xdr:colOff>19050</xdr:colOff>
      <xdr:row>222</xdr:row>
      <xdr:rowOff>209550</xdr:rowOff>
    </xdr:to>
    <xdr:sp macro="" textlink="">
      <xdr:nvSpPr>
        <xdr:cNvPr id="36222" name="Text Box 382"/>
        <xdr:cNvSpPr txBox="1">
          <a:spLocks noChangeArrowheads="1"/>
        </xdr:cNvSpPr>
      </xdr:nvSpPr>
      <xdr:spPr bwMode="auto">
        <a:xfrm>
          <a:off x="1809750" y="6561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221</xdr:row>
      <xdr:rowOff>76200</xdr:rowOff>
    </xdr:from>
    <xdr:to>
      <xdr:col>6</xdr:col>
      <xdr:colOff>295275</xdr:colOff>
      <xdr:row>222</xdr:row>
      <xdr:rowOff>219075</xdr:rowOff>
    </xdr:to>
    <xdr:sp macro="" textlink="">
      <xdr:nvSpPr>
        <xdr:cNvPr id="36223" name="Text Box 383"/>
        <xdr:cNvSpPr txBox="1">
          <a:spLocks noChangeArrowheads="1"/>
        </xdr:cNvSpPr>
      </xdr:nvSpPr>
      <xdr:spPr bwMode="auto">
        <a:xfrm>
          <a:off x="2752725" y="65627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221</xdr:row>
      <xdr:rowOff>66675</xdr:rowOff>
    </xdr:from>
    <xdr:to>
      <xdr:col>5</xdr:col>
      <xdr:colOff>19050</xdr:colOff>
      <xdr:row>222</xdr:row>
      <xdr:rowOff>209550</xdr:rowOff>
    </xdr:to>
    <xdr:sp macro="" textlink="">
      <xdr:nvSpPr>
        <xdr:cNvPr id="36224" name="Text Box 384"/>
        <xdr:cNvSpPr txBox="1">
          <a:spLocks noChangeArrowheads="1"/>
        </xdr:cNvSpPr>
      </xdr:nvSpPr>
      <xdr:spPr bwMode="auto">
        <a:xfrm>
          <a:off x="1809750" y="6561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221</xdr:row>
      <xdr:rowOff>76200</xdr:rowOff>
    </xdr:from>
    <xdr:to>
      <xdr:col>6</xdr:col>
      <xdr:colOff>295275</xdr:colOff>
      <xdr:row>222</xdr:row>
      <xdr:rowOff>219075</xdr:rowOff>
    </xdr:to>
    <xdr:sp macro="" textlink="">
      <xdr:nvSpPr>
        <xdr:cNvPr id="36225" name="Text Box 385"/>
        <xdr:cNvSpPr txBox="1">
          <a:spLocks noChangeArrowheads="1"/>
        </xdr:cNvSpPr>
      </xdr:nvSpPr>
      <xdr:spPr bwMode="auto">
        <a:xfrm>
          <a:off x="2752725" y="65627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221</xdr:row>
      <xdr:rowOff>66675</xdr:rowOff>
    </xdr:from>
    <xdr:to>
      <xdr:col>5</xdr:col>
      <xdr:colOff>19050</xdr:colOff>
      <xdr:row>222</xdr:row>
      <xdr:rowOff>209550</xdr:rowOff>
    </xdr:to>
    <xdr:sp macro="" textlink="">
      <xdr:nvSpPr>
        <xdr:cNvPr id="36226" name="Text Box 386"/>
        <xdr:cNvSpPr txBox="1">
          <a:spLocks noChangeArrowheads="1"/>
        </xdr:cNvSpPr>
      </xdr:nvSpPr>
      <xdr:spPr bwMode="auto">
        <a:xfrm>
          <a:off x="1809750" y="6561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221</xdr:row>
      <xdr:rowOff>76200</xdr:rowOff>
    </xdr:from>
    <xdr:to>
      <xdr:col>6</xdr:col>
      <xdr:colOff>295275</xdr:colOff>
      <xdr:row>222</xdr:row>
      <xdr:rowOff>219075</xdr:rowOff>
    </xdr:to>
    <xdr:sp macro="" textlink="">
      <xdr:nvSpPr>
        <xdr:cNvPr id="36227" name="Text Box 387"/>
        <xdr:cNvSpPr txBox="1">
          <a:spLocks noChangeArrowheads="1"/>
        </xdr:cNvSpPr>
      </xdr:nvSpPr>
      <xdr:spPr bwMode="auto">
        <a:xfrm>
          <a:off x="2752725" y="65627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221</xdr:row>
      <xdr:rowOff>66675</xdr:rowOff>
    </xdr:from>
    <xdr:to>
      <xdr:col>5</xdr:col>
      <xdr:colOff>19050</xdr:colOff>
      <xdr:row>222</xdr:row>
      <xdr:rowOff>209550</xdr:rowOff>
    </xdr:to>
    <xdr:sp macro="" textlink="">
      <xdr:nvSpPr>
        <xdr:cNvPr id="36228" name="Text Box 388"/>
        <xdr:cNvSpPr txBox="1">
          <a:spLocks noChangeArrowheads="1"/>
        </xdr:cNvSpPr>
      </xdr:nvSpPr>
      <xdr:spPr bwMode="auto">
        <a:xfrm>
          <a:off x="1809750" y="6561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221</xdr:row>
      <xdr:rowOff>76200</xdr:rowOff>
    </xdr:from>
    <xdr:to>
      <xdr:col>6</xdr:col>
      <xdr:colOff>295275</xdr:colOff>
      <xdr:row>222</xdr:row>
      <xdr:rowOff>219075</xdr:rowOff>
    </xdr:to>
    <xdr:sp macro="" textlink="">
      <xdr:nvSpPr>
        <xdr:cNvPr id="36229" name="Text Box 389"/>
        <xdr:cNvSpPr txBox="1">
          <a:spLocks noChangeArrowheads="1"/>
        </xdr:cNvSpPr>
      </xdr:nvSpPr>
      <xdr:spPr bwMode="auto">
        <a:xfrm>
          <a:off x="2752725" y="656272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225</xdr:row>
      <xdr:rowOff>66675</xdr:rowOff>
    </xdr:from>
    <xdr:to>
      <xdr:col>5</xdr:col>
      <xdr:colOff>19050</xdr:colOff>
      <xdr:row>226</xdr:row>
      <xdr:rowOff>209550</xdr:rowOff>
    </xdr:to>
    <xdr:sp macro="" textlink="">
      <xdr:nvSpPr>
        <xdr:cNvPr id="36233" name="Text Box 393"/>
        <xdr:cNvSpPr txBox="1">
          <a:spLocks noChangeArrowheads="1"/>
        </xdr:cNvSpPr>
      </xdr:nvSpPr>
      <xdr:spPr bwMode="auto">
        <a:xfrm>
          <a:off x="180975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225</xdr:row>
      <xdr:rowOff>76200</xdr:rowOff>
    </xdr:from>
    <xdr:to>
      <xdr:col>6</xdr:col>
      <xdr:colOff>295275</xdr:colOff>
      <xdr:row>226</xdr:row>
      <xdr:rowOff>219075</xdr:rowOff>
    </xdr:to>
    <xdr:sp macro="" textlink="">
      <xdr:nvSpPr>
        <xdr:cNvPr id="36234" name="Text Box 394"/>
        <xdr:cNvSpPr txBox="1">
          <a:spLocks noChangeArrowheads="1"/>
        </xdr:cNvSpPr>
      </xdr:nvSpPr>
      <xdr:spPr bwMode="auto">
        <a:xfrm>
          <a:off x="2752725" y="66579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225</xdr:row>
      <xdr:rowOff>66675</xdr:rowOff>
    </xdr:from>
    <xdr:to>
      <xdr:col>5</xdr:col>
      <xdr:colOff>19050</xdr:colOff>
      <xdr:row>226</xdr:row>
      <xdr:rowOff>209550</xdr:rowOff>
    </xdr:to>
    <xdr:sp macro="" textlink="">
      <xdr:nvSpPr>
        <xdr:cNvPr id="36235" name="Text Box 395"/>
        <xdr:cNvSpPr txBox="1">
          <a:spLocks noChangeArrowheads="1"/>
        </xdr:cNvSpPr>
      </xdr:nvSpPr>
      <xdr:spPr bwMode="auto">
        <a:xfrm>
          <a:off x="180975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225</xdr:row>
      <xdr:rowOff>76200</xdr:rowOff>
    </xdr:from>
    <xdr:to>
      <xdr:col>6</xdr:col>
      <xdr:colOff>295275</xdr:colOff>
      <xdr:row>226</xdr:row>
      <xdr:rowOff>219075</xdr:rowOff>
    </xdr:to>
    <xdr:sp macro="" textlink="">
      <xdr:nvSpPr>
        <xdr:cNvPr id="36236" name="Text Box 396"/>
        <xdr:cNvSpPr txBox="1">
          <a:spLocks noChangeArrowheads="1"/>
        </xdr:cNvSpPr>
      </xdr:nvSpPr>
      <xdr:spPr bwMode="auto">
        <a:xfrm>
          <a:off x="2752725" y="66579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225</xdr:row>
      <xdr:rowOff>66675</xdr:rowOff>
    </xdr:from>
    <xdr:to>
      <xdr:col>5</xdr:col>
      <xdr:colOff>19050</xdr:colOff>
      <xdr:row>226</xdr:row>
      <xdr:rowOff>209550</xdr:rowOff>
    </xdr:to>
    <xdr:sp macro="" textlink="">
      <xdr:nvSpPr>
        <xdr:cNvPr id="36237" name="Text Box 397"/>
        <xdr:cNvSpPr txBox="1">
          <a:spLocks noChangeArrowheads="1"/>
        </xdr:cNvSpPr>
      </xdr:nvSpPr>
      <xdr:spPr bwMode="auto">
        <a:xfrm>
          <a:off x="180975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225</xdr:row>
      <xdr:rowOff>76200</xdr:rowOff>
    </xdr:from>
    <xdr:to>
      <xdr:col>6</xdr:col>
      <xdr:colOff>295275</xdr:colOff>
      <xdr:row>226</xdr:row>
      <xdr:rowOff>219075</xdr:rowOff>
    </xdr:to>
    <xdr:sp macro="" textlink="">
      <xdr:nvSpPr>
        <xdr:cNvPr id="36238" name="Text Box 398"/>
        <xdr:cNvSpPr txBox="1">
          <a:spLocks noChangeArrowheads="1"/>
        </xdr:cNvSpPr>
      </xdr:nvSpPr>
      <xdr:spPr bwMode="auto">
        <a:xfrm>
          <a:off x="2752725" y="66579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225</xdr:row>
      <xdr:rowOff>66675</xdr:rowOff>
    </xdr:from>
    <xdr:to>
      <xdr:col>5</xdr:col>
      <xdr:colOff>19050</xdr:colOff>
      <xdr:row>226</xdr:row>
      <xdr:rowOff>209550</xdr:rowOff>
    </xdr:to>
    <xdr:sp macro="" textlink="">
      <xdr:nvSpPr>
        <xdr:cNvPr id="36239" name="Text Box 399"/>
        <xdr:cNvSpPr txBox="1">
          <a:spLocks noChangeArrowheads="1"/>
        </xdr:cNvSpPr>
      </xdr:nvSpPr>
      <xdr:spPr bwMode="auto">
        <a:xfrm>
          <a:off x="180975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225</xdr:row>
      <xdr:rowOff>76200</xdr:rowOff>
    </xdr:from>
    <xdr:to>
      <xdr:col>6</xdr:col>
      <xdr:colOff>295275</xdr:colOff>
      <xdr:row>226</xdr:row>
      <xdr:rowOff>219075</xdr:rowOff>
    </xdr:to>
    <xdr:sp macro="" textlink="">
      <xdr:nvSpPr>
        <xdr:cNvPr id="36240" name="Text Box 400"/>
        <xdr:cNvSpPr txBox="1">
          <a:spLocks noChangeArrowheads="1"/>
        </xdr:cNvSpPr>
      </xdr:nvSpPr>
      <xdr:spPr bwMode="auto">
        <a:xfrm>
          <a:off x="2752725" y="66579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225</xdr:row>
      <xdr:rowOff>66675</xdr:rowOff>
    </xdr:from>
    <xdr:to>
      <xdr:col>5</xdr:col>
      <xdr:colOff>19050</xdr:colOff>
      <xdr:row>226</xdr:row>
      <xdr:rowOff>209550</xdr:rowOff>
    </xdr:to>
    <xdr:sp macro="" textlink="">
      <xdr:nvSpPr>
        <xdr:cNvPr id="36241" name="Text Box 401"/>
        <xdr:cNvSpPr txBox="1">
          <a:spLocks noChangeArrowheads="1"/>
        </xdr:cNvSpPr>
      </xdr:nvSpPr>
      <xdr:spPr bwMode="auto">
        <a:xfrm>
          <a:off x="1809750" y="66570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225</xdr:row>
      <xdr:rowOff>76200</xdr:rowOff>
    </xdr:from>
    <xdr:to>
      <xdr:col>6</xdr:col>
      <xdr:colOff>295275</xdr:colOff>
      <xdr:row>226</xdr:row>
      <xdr:rowOff>219075</xdr:rowOff>
    </xdr:to>
    <xdr:sp macro="" textlink="">
      <xdr:nvSpPr>
        <xdr:cNvPr id="36242" name="Text Box 402"/>
        <xdr:cNvSpPr txBox="1">
          <a:spLocks noChangeArrowheads="1"/>
        </xdr:cNvSpPr>
      </xdr:nvSpPr>
      <xdr:spPr bwMode="auto">
        <a:xfrm>
          <a:off x="2752725" y="665797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6247" name="Text Box 407"/>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6248" name="Text Box 408"/>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6249" name="Text Box 409"/>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6250" name="Text Box 410"/>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6251" name="Text Box 411"/>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6252" name="Text Box 412"/>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6253" name="Text Box 413"/>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6254" name="Text Box 414"/>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6255" name="Text Box 415"/>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6256" name="Text Box 416"/>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229</xdr:row>
      <xdr:rowOff>66675</xdr:rowOff>
    </xdr:from>
    <xdr:to>
      <xdr:col>5</xdr:col>
      <xdr:colOff>19050</xdr:colOff>
      <xdr:row>230</xdr:row>
      <xdr:rowOff>209550</xdr:rowOff>
    </xdr:to>
    <xdr:sp macro="" textlink="">
      <xdr:nvSpPr>
        <xdr:cNvPr id="36257" name="Text Box 417"/>
        <xdr:cNvSpPr txBox="1">
          <a:spLocks noChangeArrowheads="1"/>
        </xdr:cNvSpPr>
      </xdr:nvSpPr>
      <xdr:spPr bwMode="auto">
        <a:xfrm>
          <a:off x="1809750" y="67579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229</xdr:row>
      <xdr:rowOff>76200</xdr:rowOff>
    </xdr:from>
    <xdr:to>
      <xdr:col>6</xdr:col>
      <xdr:colOff>295275</xdr:colOff>
      <xdr:row>230</xdr:row>
      <xdr:rowOff>219075</xdr:rowOff>
    </xdr:to>
    <xdr:sp macro="" textlink="">
      <xdr:nvSpPr>
        <xdr:cNvPr id="36258" name="Text Box 418"/>
        <xdr:cNvSpPr txBox="1">
          <a:spLocks noChangeArrowheads="1"/>
        </xdr:cNvSpPr>
      </xdr:nvSpPr>
      <xdr:spPr bwMode="auto">
        <a:xfrm>
          <a:off x="2752725" y="67589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62" name="Text Box 422"/>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63" name="Text Box 423"/>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64" name="Text Box 424"/>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65" name="Text Box 425"/>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66" name="Text Box 426"/>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67" name="Text Box 427"/>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68" name="Text Box 428"/>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69" name="Text Box 429"/>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70" name="Text Box 430"/>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71" name="Text Box 431"/>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72" name="Text Box 432"/>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73" name="Text Box 433"/>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233</xdr:row>
      <xdr:rowOff>66675</xdr:rowOff>
    </xdr:from>
    <xdr:to>
      <xdr:col>5</xdr:col>
      <xdr:colOff>19050</xdr:colOff>
      <xdr:row>234</xdr:row>
      <xdr:rowOff>209550</xdr:rowOff>
    </xdr:to>
    <xdr:sp macro="" textlink="">
      <xdr:nvSpPr>
        <xdr:cNvPr id="36274" name="Text Box 434"/>
        <xdr:cNvSpPr txBox="1">
          <a:spLocks noChangeArrowheads="1"/>
        </xdr:cNvSpPr>
      </xdr:nvSpPr>
      <xdr:spPr bwMode="auto">
        <a:xfrm>
          <a:off x="1809750" y="68532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233</xdr:row>
      <xdr:rowOff>76200</xdr:rowOff>
    </xdr:from>
    <xdr:to>
      <xdr:col>6</xdr:col>
      <xdr:colOff>295275</xdr:colOff>
      <xdr:row>234</xdr:row>
      <xdr:rowOff>219075</xdr:rowOff>
    </xdr:to>
    <xdr:sp macro="" textlink="">
      <xdr:nvSpPr>
        <xdr:cNvPr id="36275" name="Text Box 435"/>
        <xdr:cNvSpPr txBox="1">
          <a:spLocks noChangeArrowheads="1"/>
        </xdr:cNvSpPr>
      </xdr:nvSpPr>
      <xdr:spPr bwMode="auto">
        <a:xfrm>
          <a:off x="2752725" y="68541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79" name="Text Box 439"/>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80" name="Text Box 440"/>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81" name="Text Box 441"/>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82" name="Text Box 442"/>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83" name="Text Box 443"/>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84" name="Text Box 444"/>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85" name="Text Box 445"/>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86" name="Text Box 446"/>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87" name="Text Box 447"/>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88" name="Text Box 448"/>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89" name="Text Box 449"/>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90" name="Text Box 450"/>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91" name="Text Box 451"/>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92" name="Text Box 452"/>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237</xdr:row>
      <xdr:rowOff>66675</xdr:rowOff>
    </xdr:from>
    <xdr:to>
      <xdr:col>5</xdr:col>
      <xdr:colOff>19050</xdr:colOff>
      <xdr:row>238</xdr:row>
      <xdr:rowOff>209550</xdr:rowOff>
    </xdr:to>
    <xdr:sp macro="" textlink="">
      <xdr:nvSpPr>
        <xdr:cNvPr id="36293" name="Text Box 453"/>
        <xdr:cNvSpPr txBox="1">
          <a:spLocks noChangeArrowheads="1"/>
        </xdr:cNvSpPr>
      </xdr:nvSpPr>
      <xdr:spPr bwMode="auto">
        <a:xfrm>
          <a:off x="1809750" y="694848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237</xdr:row>
      <xdr:rowOff>76200</xdr:rowOff>
    </xdr:from>
    <xdr:to>
      <xdr:col>6</xdr:col>
      <xdr:colOff>295275</xdr:colOff>
      <xdr:row>238</xdr:row>
      <xdr:rowOff>219075</xdr:rowOff>
    </xdr:to>
    <xdr:sp macro="" textlink="">
      <xdr:nvSpPr>
        <xdr:cNvPr id="36294" name="Text Box 454"/>
        <xdr:cNvSpPr txBox="1">
          <a:spLocks noChangeArrowheads="1"/>
        </xdr:cNvSpPr>
      </xdr:nvSpPr>
      <xdr:spPr bwMode="auto">
        <a:xfrm>
          <a:off x="2752725" y="694944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298" name="Text Box 458"/>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299" name="Text Box 459"/>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00" name="Text Box 460"/>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01" name="Text Box 461"/>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02" name="Text Box 462"/>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03" name="Text Box 463"/>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04" name="Text Box 464"/>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05" name="Text Box 465"/>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06" name="Text Box 466"/>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07" name="Text Box 467"/>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08" name="Text Box 468"/>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09" name="Text Box 469"/>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10" name="Text Box 470"/>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11" name="Text Box 471"/>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12" name="Text Box 472"/>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13" name="Text Box 473"/>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241</xdr:row>
      <xdr:rowOff>66675</xdr:rowOff>
    </xdr:from>
    <xdr:to>
      <xdr:col>5</xdr:col>
      <xdr:colOff>19050</xdr:colOff>
      <xdr:row>242</xdr:row>
      <xdr:rowOff>209550</xdr:rowOff>
    </xdr:to>
    <xdr:sp macro="" textlink="">
      <xdr:nvSpPr>
        <xdr:cNvPr id="36314" name="Text Box 474"/>
        <xdr:cNvSpPr txBox="1">
          <a:spLocks noChangeArrowheads="1"/>
        </xdr:cNvSpPr>
      </xdr:nvSpPr>
      <xdr:spPr bwMode="auto">
        <a:xfrm>
          <a:off x="1809750" y="70437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241</xdr:row>
      <xdr:rowOff>76200</xdr:rowOff>
    </xdr:from>
    <xdr:to>
      <xdr:col>6</xdr:col>
      <xdr:colOff>295275</xdr:colOff>
      <xdr:row>242</xdr:row>
      <xdr:rowOff>219075</xdr:rowOff>
    </xdr:to>
    <xdr:sp macro="" textlink="">
      <xdr:nvSpPr>
        <xdr:cNvPr id="36315" name="Text Box 475"/>
        <xdr:cNvSpPr txBox="1">
          <a:spLocks noChangeArrowheads="1"/>
        </xdr:cNvSpPr>
      </xdr:nvSpPr>
      <xdr:spPr bwMode="auto">
        <a:xfrm>
          <a:off x="2752725" y="7044690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19" name="Text Box 479"/>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20" name="Text Box 480"/>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21" name="Text Box 481"/>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22" name="Text Box 482"/>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23" name="Text Box 483"/>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24" name="Text Box 484"/>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25" name="Text Box 485"/>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26" name="Text Box 486"/>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27" name="Text Box 487"/>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28" name="Text Box 488"/>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29" name="Text Box 489"/>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30" name="Text Box 490"/>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31" name="Text Box 491"/>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32" name="Text Box 492"/>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33" name="Text Box 493"/>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34" name="Text Box 494"/>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35" name="Text Box 495"/>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36" name="Text Box 496"/>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245</xdr:row>
      <xdr:rowOff>66675</xdr:rowOff>
    </xdr:from>
    <xdr:to>
      <xdr:col>5</xdr:col>
      <xdr:colOff>19050</xdr:colOff>
      <xdr:row>246</xdr:row>
      <xdr:rowOff>209550</xdr:rowOff>
    </xdr:to>
    <xdr:sp macro="" textlink="">
      <xdr:nvSpPr>
        <xdr:cNvPr id="36337" name="Text Box 497"/>
        <xdr:cNvSpPr txBox="1">
          <a:spLocks noChangeArrowheads="1"/>
        </xdr:cNvSpPr>
      </xdr:nvSpPr>
      <xdr:spPr bwMode="auto">
        <a:xfrm>
          <a:off x="1809750" y="714470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245</xdr:row>
      <xdr:rowOff>76200</xdr:rowOff>
    </xdr:from>
    <xdr:to>
      <xdr:col>6</xdr:col>
      <xdr:colOff>295275</xdr:colOff>
      <xdr:row>246</xdr:row>
      <xdr:rowOff>219075</xdr:rowOff>
    </xdr:to>
    <xdr:sp macro="" textlink="">
      <xdr:nvSpPr>
        <xdr:cNvPr id="36338" name="Text Box 498"/>
        <xdr:cNvSpPr txBox="1">
          <a:spLocks noChangeArrowheads="1"/>
        </xdr:cNvSpPr>
      </xdr:nvSpPr>
      <xdr:spPr bwMode="auto">
        <a:xfrm>
          <a:off x="2752725" y="714565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42" name="Text Box 502"/>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43" name="Text Box 503"/>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44" name="Text Box 504"/>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45" name="Text Box 505"/>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46" name="Text Box 506"/>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47" name="Text Box 507"/>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48" name="Text Box 508"/>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49" name="Text Box 509"/>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50" name="Text Box 510"/>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51" name="Text Box 511"/>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52" name="Text Box 512"/>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53" name="Text Box 513"/>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54" name="Text Box 514"/>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55" name="Text Box 515"/>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56" name="Text Box 516"/>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57" name="Text Box 517"/>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58" name="Text Box 518"/>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59" name="Text Box 519"/>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60" name="Text Box 520"/>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61" name="Text Box 521"/>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249</xdr:row>
      <xdr:rowOff>66675</xdr:rowOff>
    </xdr:from>
    <xdr:to>
      <xdr:col>5</xdr:col>
      <xdr:colOff>19050</xdr:colOff>
      <xdr:row>250</xdr:row>
      <xdr:rowOff>209550</xdr:rowOff>
    </xdr:to>
    <xdr:sp macro="" textlink="">
      <xdr:nvSpPr>
        <xdr:cNvPr id="36362" name="Text Box 522"/>
        <xdr:cNvSpPr txBox="1">
          <a:spLocks noChangeArrowheads="1"/>
        </xdr:cNvSpPr>
      </xdr:nvSpPr>
      <xdr:spPr bwMode="auto">
        <a:xfrm>
          <a:off x="1809750" y="723995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249</xdr:row>
      <xdr:rowOff>76200</xdr:rowOff>
    </xdr:from>
    <xdr:to>
      <xdr:col>6</xdr:col>
      <xdr:colOff>295275</xdr:colOff>
      <xdr:row>250</xdr:row>
      <xdr:rowOff>219075</xdr:rowOff>
    </xdr:to>
    <xdr:sp macro="" textlink="">
      <xdr:nvSpPr>
        <xdr:cNvPr id="36363" name="Text Box 523"/>
        <xdr:cNvSpPr txBox="1">
          <a:spLocks noChangeArrowheads="1"/>
        </xdr:cNvSpPr>
      </xdr:nvSpPr>
      <xdr:spPr bwMode="auto">
        <a:xfrm>
          <a:off x="2752725" y="72409050"/>
          <a:ext cx="2095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259</xdr:row>
      <xdr:rowOff>76200</xdr:rowOff>
    </xdr:from>
    <xdr:to>
      <xdr:col>4</xdr:col>
      <xdr:colOff>295275</xdr:colOff>
      <xdr:row>260</xdr:row>
      <xdr:rowOff>219075</xdr:rowOff>
    </xdr:to>
    <xdr:sp macro="" textlink="">
      <xdr:nvSpPr>
        <xdr:cNvPr id="36367" name="Text Box 527"/>
        <xdr:cNvSpPr txBox="1">
          <a:spLocks noChangeArrowheads="1"/>
        </xdr:cNvSpPr>
      </xdr:nvSpPr>
      <xdr:spPr bwMode="auto">
        <a:xfrm>
          <a:off x="1752600" y="75990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263</xdr:row>
      <xdr:rowOff>76200</xdr:rowOff>
    </xdr:from>
    <xdr:to>
      <xdr:col>4</xdr:col>
      <xdr:colOff>295275</xdr:colOff>
      <xdr:row>264</xdr:row>
      <xdr:rowOff>219075</xdr:rowOff>
    </xdr:to>
    <xdr:sp macro="" textlink="">
      <xdr:nvSpPr>
        <xdr:cNvPr id="36368" name="Text Box 528"/>
        <xdr:cNvSpPr txBox="1">
          <a:spLocks noChangeArrowheads="1"/>
        </xdr:cNvSpPr>
      </xdr:nvSpPr>
      <xdr:spPr bwMode="auto">
        <a:xfrm>
          <a:off x="1752600" y="771334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267</xdr:row>
      <xdr:rowOff>76200</xdr:rowOff>
    </xdr:from>
    <xdr:to>
      <xdr:col>4</xdr:col>
      <xdr:colOff>295275</xdr:colOff>
      <xdr:row>268</xdr:row>
      <xdr:rowOff>219075</xdr:rowOff>
    </xdr:to>
    <xdr:sp macro="" textlink="">
      <xdr:nvSpPr>
        <xdr:cNvPr id="36369" name="Text Box 529"/>
        <xdr:cNvSpPr txBox="1">
          <a:spLocks noChangeArrowheads="1"/>
        </xdr:cNvSpPr>
      </xdr:nvSpPr>
      <xdr:spPr bwMode="auto">
        <a:xfrm>
          <a:off x="1752600" y="78162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271</xdr:row>
      <xdr:rowOff>76200</xdr:rowOff>
    </xdr:from>
    <xdr:to>
      <xdr:col>4</xdr:col>
      <xdr:colOff>295275</xdr:colOff>
      <xdr:row>272</xdr:row>
      <xdr:rowOff>219075</xdr:rowOff>
    </xdr:to>
    <xdr:sp macro="" textlink="">
      <xdr:nvSpPr>
        <xdr:cNvPr id="36370" name="Text Box 530"/>
        <xdr:cNvSpPr txBox="1">
          <a:spLocks noChangeArrowheads="1"/>
        </xdr:cNvSpPr>
      </xdr:nvSpPr>
      <xdr:spPr bwMode="auto">
        <a:xfrm>
          <a:off x="1752600" y="79171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275</xdr:row>
      <xdr:rowOff>76200</xdr:rowOff>
    </xdr:from>
    <xdr:to>
      <xdr:col>4</xdr:col>
      <xdr:colOff>295275</xdr:colOff>
      <xdr:row>276</xdr:row>
      <xdr:rowOff>219075</xdr:rowOff>
    </xdr:to>
    <xdr:sp macro="" textlink="">
      <xdr:nvSpPr>
        <xdr:cNvPr id="36371" name="Text Box 531"/>
        <xdr:cNvSpPr txBox="1">
          <a:spLocks noChangeArrowheads="1"/>
        </xdr:cNvSpPr>
      </xdr:nvSpPr>
      <xdr:spPr bwMode="auto">
        <a:xfrm>
          <a:off x="1752600" y="80181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279</xdr:row>
      <xdr:rowOff>76200</xdr:rowOff>
    </xdr:from>
    <xdr:to>
      <xdr:col>4</xdr:col>
      <xdr:colOff>295275</xdr:colOff>
      <xdr:row>280</xdr:row>
      <xdr:rowOff>219075</xdr:rowOff>
    </xdr:to>
    <xdr:sp macro="" textlink="">
      <xdr:nvSpPr>
        <xdr:cNvPr id="36372" name="Text Box 532"/>
        <xdr:cNvSpPr txBox="1">
          <a:spLocks noChangeArrowheads="1"/>
        </xdr:cNvSpPr>
      </xdr:nvSpPr>
      <xdr:spPr bwMode="auto">
        <a:xfrm>
          <a:off x="1752600" y="812387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283</xdr:row>
      <xdr:rowOff>76200</xdr:rowOff>
    </xdr:from>
    <xdr:to>
      <xdr:col>4</xdr:col>
      <xdr:colOff>295275</xdr:colOff>
      <xdr:row>284</xdr:row>
      <xdr:rowOff>219075</xdr:rowOff>
    </xdr:to>
    <xdr:sp macro="" textlink="">
      <xdr:nvSpPr>
        <xdr:cNvPr id="36373" name="Text Box 533"/>
        <xdr:cNvSpPr txBox="1">
          <a:spLocks noChangeArrowheads="1"/>
        </xdr:cNvSpPr>
      </xdr:nvSpPr>
      <xdr:spPr bwMode="auto">
        <a:xfrm>
          <a:off x="1752600" y="82353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6374" name="Text Box 534"/>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375" name="Text Box 535"/>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376" name="Text Box 536"/>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259</xdr:row>
      <xdr:rowOff>76200</xdr:rowOff>
    </xdr:from>
    <xdr:to>
      <xdr:col>4</xdr:col>
      <xdr:colOff>295275</xdr:colOff>
      <xdr:row>260</xdr:row>
      <xdr:rowOff>219075</xdr:rowOff>
    </xdr:to>
    <xdr:sp macro="" textlink="">
      <xdr:nvSpPr>
        <xdr:cNvPr id="36377" name="Text Box 537"/>
        <xdr:cNvSpPr txBox="1">
          <a:spLocks noChangeArrowheads="1"/>
        </xdr:cNvSpPr>
      </xdr:nvSpPr>
      <xdr:spPr bwMode="auto">
        <a:xfrm>
          <a:off x="1752600" y="75990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263</xdr:row>
      <xdr:rowOff>76200</xdr:rowOff>
    </xdr:from>
    <xdr:to>
      <xdr:col>4</xdr:col>
      <xdr:colOff>295275</xdr:colOff>
      <xdr:row>264</xdr:row>
      <xdr:rowOff>219075</xdr:rowOff>
    </xdr:to>
    <xdr:sp macro="" textlink="">
      <xdr:nvSpPr>
        <xdr:cNvPr id="36378" name="Text Box 538"/>
        <xdr:cNvSpPr txBox="1">
          <a:spLocks noChangeArrowheads="1"/>
        </xdr:cNvSpPr>
      </xdr:nvSpPr>
      <xdr:spPr bwMode="auto">
        <a:xfrm>
          <a:off x="1752600" y="771334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263</xdr:row>
      <xdr:rowOff>76200</xdr:rowOff>
    </xdr:from>
    <xdr:to>
      <xdr:col>4</xdr:col>
      <xdr:colOff>295275</xdr:colOff>
      <xdr:row>264</xdr:row>
      <xdr:rowOff>219075</xdr:rowOff>
    </xdr:to>
    <xdr:sp macro="" textlink="">
      <xdr:nvSpPr>
        <xdr:cNvPr id="36379" name="Text Box 539"/>
        <xdr:cNvSpPr txBox="1">
          <a:spLocks noChangeArrowheads="1"/>
        </xdr:cNvSpPr>
      </xdr:nvSpPr>
      <xdr:spPr bwMode="auto">
        <a:xfrm>
          <a:off x="1752600" y="7713345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271</xdr:row>
      <xdr:rowOff>76200</xdr:rowOff>
    </xdr:from>
    <xdr:to>
      <xdr:col>4</xdr:col>
      <xdr:colOff>295275</xdr:colOff>
      <xdr:row>272</xdr:row>
      <xdr:rowOff>219075</xdr:rowOff>
    </xdr:to>
    <xdr:sp macro="" textlink="">
      <xdr:nvSpPr>
        <xdr:cNvPr id="36380" name="Text Box 540"/>
        <xdr:cNvSpPr txBox="1">
          <a:spLocks noChangeArrowheads="1"/>
        </xdr:cNvSpPr>
      </xdr:nvSpPr>
      <xdr:spPr bwMode="auto">
        <a:xfrm>
          <a:off x="1752600" y="79171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275</xdr:row>
      <xdr:rowOff>76200</xdr:rowOff>
    </xdr:from>
    <xdr:to>
      <xdr:col>4</xdr:col>
      <xdr:colOff>295275</xdr:colOff>
      <xdr:row>276</xdr:row>
      <xdr:rowOff>219075</xdr:rowOff>
    </xdr:to>
    <xdr:sp macro="" textlink="">
      <xdr:nvSpPr>
        <xdr:cNvPr id="36381" name="Text Box 541"/>
        <xdr:cNvSpPr txBox="1">
          <a:spLocks noChangeArrowheads="1"/>
        </xdr:cNvSpPr>
      </xdr:nvSpPr>
      <xdr:spPr bwMode="auto">
        <a:xfrm>
          <a:off x="1752600" y="80181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275</xdr:row>
      <xdr:rowOff>76200</xdr:rowOff>
    </xdr:from>
    <xdr:to>
      <xdr:col>4</xdr:col>
      <xdr:colOff>295275</xdr:colOff>
      <xdr:row>276</xdr:row>
      <xdr:rowOff>219075</xdr:rowOff>
    </xdr:to>
    <xdr:sp macro="" textlink="">
      <xdr:nvSpPr>
        <xdr:cNvPr id="36382" name="Text Box 542"/>
        <xdr:cNvSpPr txBox="1">
          <a:spLocks noChangeArrowheads="1"/>
        </xdr:cNvSpPr>
      </xdr:nvSpPr>
      <xdr:spPr bwMode="auto">
        <a:xfrm>
          <a:off x="1752600" y="801814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279</xdr:row>
      <xdr:rowOff>76200</xdr:rowOff>
    </xdr:from>
    <xdr:to>
      <xdr:col>4</xdr:col>
      <xdr:colOff>295275</xdr:colOff>
      <xdr:row>280</xdr:row>
      <xdr:rowOff>219075</xdr:rowOff>
    </xdr:to>
    <xdr:sp macro="" textlink="">
      <xdr:nvSpPr>
        <xdr:cNvPr id="36383" name="Text Box 543"/>
        <xdr:cNvSpPr txBox="1">
          <a:spLocks noChangeArrowheads="1"/>
        </xdr:cNvSpPr>
      </xdr:nvSpPr>
      <xdr:spPr bwMode="auto">
        <a:xfrm>
          <a:off x="1752600" y="812387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279</xdr:row>
      <xdr:rowOff>76200</xdr:rowOff>
    </xdr:from>
    <xdr:to>
      <xdr:col>4</xdr:col>
      <xdr:colOff>295275</xdr:colOff>
      <xdr:row>280</xdr:row>
      <xdr:rowOff>219075</xdr:rowOff>
    </xdr:to>
    <xdr:sp macro="" textlink="">
      <xdr:nvSpPr>
        <xdr:cNvPr id="36384" name="Text Box 544"/>
        <xdr:cNvSpPr txBox="1">
          <a:spLocks noChangeArrowheads="1"/>
        </xdr:cNvSpPr>
      </xdr:nvSpPr>
      <xdr:spPr bwMode="auto">
        <a:xfrm>
          <a:off x="1752600" y="812387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279</xdr:row>
      <xdr:rowOff>76200</xdr:rowOff>
    </xdr:from>
    <xdr:to>
      <xdr:col>4</xdr:col>
      <xdr:colOff>295275</xdr:colOff>
      <xdr:row>280</xdr:row>
      <xdr:rowOff>219075</xdr:rowOff>
    </xdr:to>
    <xdr:sp macro="" textlink="">
      <xdr:nvSpPr>
        <xdr:cNvPr id="36385" name="Text Box 545"/>
        <xdr:cNvSpPr txBox="1">
          <a:spLocks noChangeArrowheads="1"/>
        </xdr:cNvSpPr>
      </xdr:nvSpPr>
      <xdr:spPr bwMode="auto">
        <a:xfrm>
          <a:off x="1752600" y="81238725"/>
          <a:ext cx="247650" cy="4476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283</xdr:row>
      <xdr:rowOff>76200</xdr:rowOff>
    </xdr:from>
    <xdr:to>
      <xdr:col>4</xdr:col>
      <xdr:colOff>295275</xdr:colOff>
      <xdr:row>284</xdr:row>
      <xdr:rowOff>219075</xdr:rowOff>
    </xdr:to>
    <xdr:sp macro="" textlink="">
      <xdr:nvSpPr>
        <xdr:cNvPr id="36386" name="Text Box 546"/>
        <xdr:cNvSpPr txBox="1">
          <a:spLocks noChangeArrowheads="1"/>
        </xdr:cNvSpPr>
      </xdr:nvSpPr>
      <xdr:spPr bwMode="auto">
        <a:xfrm>
          <a:off x="1752600" y="82353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283</xdr:row>
      <xdr:rowOff>76200</xdr:rowOff>
    </xdr:from>
    <xdr:to>
      <xdr:col>4</xdr:col>
      <xdr:colOff>295275</xdr:colOff>
      <xdr:row>284</xdr:row>
      <xdr:rowOff>219075</xdr:rowOff>
    </xdr:to>
    <xdr:sp macro="" textlink="">
      <xdr:nvSpPr>
        <xdr:cNvPr id="36387" name="Text Box 547"/>
        <xdr:cNvSpPr txBox="1">
          <a:spLocks noChangeArrowheads="1"/>
        </xdr:cNvSpPr>
      </xdr:nvSpPr>
      <xdr:spPr bwMode="auto">
        <a:xfrm>
          <a:off x="1752600" y="82353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283</xdr:row>
      <xdr:rowOff>76200</xdr:rowOff>
    </xdr:from>
    <xdr:to>
      <xdr:col>4</xdr:col>
      <xdr:colOff>295275</xdr:colOff>
      <xdr:row>284</xdr:row>
      <xdr:rowOff>219075</xdr:rowOff>
    </xdr:to>
    <xdr:sp macro="" textlink="">
      <xdr:nvSpPr>
        <xdr:cNvPr id="36388" name="Text Box 548"/>
        <xdr:cNvSpPr txBox="1">
          <a:spLocks noChangeArrowheads="1"/>
        </xdr:cNvSpPr>
      </xdr:nvSpPr>
      <xdr:spPr bwMode="auto">
        <a:xfrm>
          <a:off x="1752600" y="82353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283</xdr:row>
      <xdr:rowOff>76200</xdr:rowOff>
    </xdr:from>
    <xdr:to>
      <xdr:col>4</xdr:col>
      <xdr:colOff>295275</xdr:colOff>
      <xdr:row>284</xdr:row>
      <xdr:rowOff>219075</xdr:rowOff>
    </xdr:to>
    <xdr:sp macro="" textlink="">
      <xdr:nvSpPr>
        <xdr:cNvPr id="36389" name="Text Box 549"/>
        <xdr:cNvSpPr txBox="1">
          <a:spLocks noChangeArrowheads="1"/>
        </xdr:cNvSpPr>
      </xdr:nvSpPr>
      <xdr:spPr bwMode="auto">
        <a:xfrm>
          <a:off x="1752600" y="823531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6390" name="Text Box 550"/>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6391" name="Text Box 551"/>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6392" name="Text Box 552"/>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6393" name="Text Box 553"/>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287</xdr:row>
      <xdr:rowOff>76200</xdr:rowOff>
    </xdr:from>
    <xdr:to>
      <xdr:col>4</xdr:col>
      <xdr:colOff>295275</xdr:colOff>
      <xdr:row>288</xdr:row>
      <xdr:rowOff>219075</xdr:rowOff>
    </xdr:to>
    <xdr:sp macro="" textlink="">
      <xdr:nvSpPr>
        <xdr:cNvPr id="36394" name="Text Box 554"/>
        <xdr:cNvSpPr txBox="1">
          <a:spLocks noChangeArrowheads="1"/>
        </xdr:cNvSpPr>
      </xdr:nvSpPr>
      <xdr:spPr bwMode="auto">
        <a:xfrm>
          <a:off x="1752600" y="833628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395" name="Text Box 555"/>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396" name="Text Box 556"/>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397" name="Text Box 557"/>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398" name="Text Box 558"/>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399" name="Text Box 559"/>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291</xdr:row>
      <xdr:rowOff>76200</xdr:rowOff>
    </xdr:from>
    <xdr:to>
      <xdr:col>4</xdr:col>
      <xdr:colOff>295275</xdr:colOff>
      <xdr:row>292</xdr:row>
      <xdr:rowOff>219075</xdr:rowOff>
    </xdr:to>
    <xdr:sp macro="" textlink="">
      <xdr:nvSpPr>
        <xdr:cNvPr id="36400" name="Text Box 560"/>
        <xdr:cNvSpPr txBox="1">
          <a:spLocks noChangeArrowheads="1"/>
        </xdr:cNvSpPr>
      </xdr:nvSpPr>
      <xdr:spPr bwMode="auto">
        <a:xfrm>
          <a:off x="1752600" y="84543900"/>
          <a:ext cx="247650" cy="40957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1" name="Text Box 561"/>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2" name="Text Box 562"/>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3" name="Text Box 563"/>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4" name="Text Box 564"/>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5" name="Text Box 565"/>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6" name="Text Box 566"/>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47625</xdr:colOff>
      <xdr:row>295</xdr:row>
      <xdr:rowOff>76200</xdr:rowOff>
    </xdr:from>
    <xdr:to>
      <xdr:col>4</xdr:col>
      <xdr:colOff>295275</xdr:colOff>
      <xdr:row>296</xdr:row>
      <xdr:rowOff>219075</xdr:rowOff>
    </xdr:to>
    <xdr:sp macro="" textlink="">
      <xdr:nvSpPr>
        <xdr:cNvPr id="36407" name="Text Box 567"/>
        <xdr:cNvSpPr txBox="1">
          <a:spLocks noChangeArrowheads="1"/>
        </xdr:cNvSpPr>
      </xdr:nvSpPr>
      <xdr:spPr bwMode="auto">
        <a:xfrm>
          <a:off x="1752600" y="85563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21</xdr:col>
      <xdr:colOff>552450</xdr:colOff>
      <xdr:row>10</xdr:row>
      <xdr:rowOff>161925</xdr:rowOff>
    </xdr:from>
    <xdr:to>
      <xdr:col>22</xdr:col>
      <xdr:colOff>266700</xdr:colOff>
      <xdr:row>15</xdr:row>
      <xdr:rowOff>142875</xdr:rowOff>
    </xdr:to>
    <xdr:pic>
      <xdr:nvPicPr>
        <xdr:cNvPr id="335" name="Picture 2" descr="CRCTR168"/>
        <xdr:cNvPicPr>
          <a:picLocks noChangeAspect="1" noChangeArrowheads="1"/>
        </xdr:cNvPicPr>
      </xdr:nvPicPr>
      <xdr:blipFill>
        <a:blip xmlns:r="http://schemas.openxmlformats.org/officeDocument/2006/relationships" r:embed="rId9" cstate="print"/>
        <a:srcRect/>
        <a:stretch>
          <a:fillRect/>
        </a:stretch>
      </xdr:blipFill>
      <xdr:spPr bwMode="auto">
        <a:xfrm>
          <a:off x="7515225" y="3409950"/>
          <a:ext cx="438150" cy="1352550"/>
        </a:xfrm>
        <a:prstGeom prst="rect">
          <a:avLst/>
        </a:prstGeom>
        <a:noFill/>
        <a:ln w="9525">
          <a:noFill/>
          <a:miter lim="800000"/>
          <a:headEnd/>
          <a:tailEnd/>
        </a:ln>
      </xdr:spPr>
    </xdr:pic>
    <xdr:clientData/>
  </xdr:twoCellAnchor>
  <xdr:twoCellAnchor>
    <xdr:from>
      <xdr:col>12</xdr:col>
      <xdr:colOff>180975</xdr:colOff>
      <xdr:row>5</xdr:row>
      <xdr:rowOff>247650</xdr:rowOff>
    </xdr:from>
    <xdr:to>
      <xdr:col>20</xdr:col>
      <xdr:colOff>542925</xdr:colOff>
      <xdr:row>13</xdr:row>
      <xdr:rowOff>180975</xdr:rowOff>
    </xdr:to>
    <xdr:graphicFrame macro="">
      <xdr:nvGraphicFramePr>
        <xdr:cNvPr id="341" name="Chart 3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180975</xdr:colOff>
      <xdr:row>5</xdr:row>
      <xdr:rowOff>142875</xdr:rowOff>
    </xdr:from>
    <xdr:to>
      <xdr:col>22</xdr:col>
      <xdr:colOff>285750</xdr:colOff>
      <xdr:row>17</xdr:row>
      <xdr:rowOff>171450</xdr:rowOff>
    </xdr:to>
    <xdr:sp macro="" textlink="">
      <xdr:nvSpPr>
        <xdr:cNvPr id="342" name="Rectangle 341"/>
        <xdr:cNvSpPr/>
      </xdr:nvSpPr>
      <xdr:spPr bwMode="auto">
        <a:xfrm>
          <a:off x="3857625" y="2019300"/>
          <a:ext cx="4114800" cy="3286125"/>
        </a:xfrm>
        <a:prstGeom prst="rect">
          <a:avLst/>
        </a:prstGeom>
        <a:noFill/>
        <a:ln w="57150" cap="flat" cmpd="sng" algn="ctr">
          <a:solidFill>
            <a:srgbClr val="0000CC"/>
          </a:solidFill>
          <a:prstDash val="solid"/>
          <a:round/>
          <a:headEnd type="none" w="med" len="med"/>
          <a:tailEnd type="none" w="med" len="med"/>
        </a:ln>
        <a:effectLst/>
      </xdr:spPr>
      <xdr:txBody>
        <a:bodyPr vertOverflow="clip" wrap="square" lIns="18288" tIns="0" rIns="0" bIns="0" rtlCol="0" anchor="ctr" upright="1"/>
        <a:lstStyle/>
        <a:p>
          <a:pPr algn="ct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52</xdr:col>
      <xdr:colOff>57150</xdr:colOff>
      <xdr:row>13</xdr:row>
      <xdr:rowOff>38100</xdr:rowOff>
    </xdr:from>
    <xdr:to>
      <xdr:col>53</xdr:col>
      <xdr:colOff>0</xdr:colOff>
      <xdr:row>14</xdr:row>
      <xdr:rowOff>9525</xdr:rowOff>
    </xdr:to>
    <xdr:sp macro="" textlink="">
      <xdr:nvSpPr>
        <xdr:cNvPr id="3316931" name="Line 1"/>
        <xdr:cNvSpPr>
          <a:spLocks noChangeShapeType="1"/>
        </xdr:cNvSpPr>
      </xdr:nvSpPr>
      <xdr:spPr bwMode="auto">
        <a:xfrm>
          <a:off x="21345525" y="3524250"/>
          <a:ext cx="628650" cy="219075"/>
        </a:xfrm>
        <a:prstGeom prst="line">
          <a:avLst/>
        </a:prstGeom>
        <a:noFill/>
        <a:ln w="9525">
          <a:solidFill>
            <a:srgbClr val="000000"/>
          </a:solidFill>
          <a:round/>
          <a:headEnd/>
          <a:tailEnd type="triangle" w="med" len="med"/>
        </a:ln>
      </xdr:spPr>
    </xdr:sp>
    <xdr:clientData/>
  </xdr:twoCellAnchor>
  <xdr:twoCellAnchor>
    <xdr:from>
      <xdr:col>83</xdr:col>
      <xdr:colOff>9525</xdr:colOff>
      <xdr:row>13</xdr:row>
      <xdr:rowOff>47625</xdr:rowOff>
    </xdr:from>
    <xdr:to>
      <xdr:col>83</xdr:col>
      <xdr:colOff>19050</xdr:colOff>
      <xdr:row>14</xdr:row>
      <xdr:rowOff>19050</xdr:rowOff>
    </xdr:to>
    <xdr:sp macro="" textlink="">
      <xdr:nvSpPr>
        <xdr:cNvPr id="3316932" name="Line 2"/>
        <xdr:cNvSpPr>
          <a:spLocks noChangeShapeType="1"/>
        </xdr:cNvSpPr>
      </xdr:nvSpPr>
      <xdr:spPr bwMode="auto">
        <a:xfrm>
          <a:off x="42557700" y="3533775"/>
          <a:ext cx="9525" cy="219075"/>
        </a:xfrm>
        <a:prstGeom prst="line">
          <a:avLst/>
        </a:prstGeom>
        <a:noFill/>
        <a:ln w="9525">
          <a:solidFill>
            <a:srgbClr val="000000"/>
          </a:solidFill>
          <a:round/>
          <a:headEnd/>
          <a:tailEnd type="triangle" w="med" len="med"/>
        </a:ln>
      </xdr:spPr>
    </xdr:sp>
    <xdr:clientData/>
  </xdr:twoCellAnchor>
  <xdr:twoCellAnchor>
    <xdr:from>
      <xdr:col>1</xdr:col>
      <xdr:colOff>104775</xdr:colOff>
      <xdr:row>11</xdr:row>
      <xdr:rowOff>0</xdr:rowOff>
    </xdr:from>
    <xdr:to>
      <xdr:col>23</xdr:col>
      <xdr:colOff>9525</xdr:colOff>
      <xdr:row>11</xdr:row>
      <xdr:rowOff>0</xdr:rowOff>
    </xdr:to>
    <xdr:sp macro="" textlink="">
      <xdr:nvSpPr>
        <xdr:cNvPr id="3316933" name="Line 3"/>
        <xdr:cNvSpPr>
          <a:spLocks noChangeShapeType="1"/>
        </xdr:cNvSpPr>
      </xdr:nvSpPr>
      <xdr:spPr bwMode="auto">
        <a:xfrm>
          <a:off x="171450" y="2981325"/>
          <a:ext cx="6572250" cy="0"/>
        </a:xfrm>
        <a:prstGeom prst="line">
          <a:avLst/>
        </a:prstGeom>
        <a:noFill/>
        <a:ln w="25400">
          <a:solidFill>
            <a:srgbClr val="000000"/>
          </a:solidFill>
          <a:round/>
          <a:headEnd type="triangle" w="med" len="med"/>
          <a:tailEnd type="triangle" w="med" len="med"/>
        </a:ln>
      </xdr:spPr>
    </xdr:sp>
    <xdr:clientData/>
  </xdr:twoCellAnchor>
  <xdr:twoCellAnchor>
    <xdr:from>
      <xdr:col>1</xdr:col>
      <xdr:colOff>38100</xdr:colOff>
      <xdr:row>0</xdr:row>
      <xdr:rowOff>219075</xdr:rowOff>
    </xdr:from>
    <xdr:to>
      <xdr:col>18</xdr:col>
      <xdr:colOff>228600</xdr:colOff>
      <xdr:row>1</xdr:row>
      <xdr:rowOff>66675</xdr:rowOff>
    </xdr:to>
    <xdr:sp macro="" textlink="">
      <xdr:nvSpPr>
        <xdr:cNvPr id="67588" name="WordArt 4"/>
        <xdr:cNvSpPr>
          <a:spLocks noChangeArrowheads="1" noChangeShapeType="1" noTextEdit="1"/>
        </xdr:cNvSpPr>
      </xdr:nvSpPr>
      <xdr:spPr bwMode="auto">
        <a:xfrm>
          <a:off x="104775" y="219075"/>
          <a:ext cx="5334000" cy="4572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Κλάσματα - δεκαδικοί - ποσοστά στην αριθμητική γραμμή</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8</xdr:col>
      <xdr:colOff>85725</xdr:colOff>
      <xdr:row>15</xdr:row>
      <xdr:rowOff>57150</xdr:rowOff>
    </xdr:from>
    <xdr:to>
      <xdr:col>14</xdr:col>
      <xdr:colOff>9525</xdr:colOff>
      <xdr:row>19</xdr:row>
      <xdr:rowOff>47625</xdr:rowOff>
    </xdr:to>
    <xdr:sp macro="" textlink="">
      <xdr:nvSpPr>
        <xdr:cNvPr id="67591" name="WordArt 7"/>
        <xdr:cNvSpPr>
          <a:spLocks noChangeArrowheads="1" noChangeShapeType="1" noTextEdit="1"/>
        </xdr:cNvSpPr>
      </xdr:nvSpPr>
      <xdr:spPr bwMode="auto">
        <a:xfrm>
          <a:off x="2247900" y="4038600"/>
          <a:ext cx="1752600" cy="5715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Ασκήσεις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52</xdr:col>
      <xdr:colOff>57150</xdr:colOff>
      <xdr:row>46</xdr:row>
      <xdr:rowOff>38100</xdr:rowOff>
    </xdr:from>
    <xdr:to>
      <xdr:col>53</xdr:col>
      <xdr:colOff>0</xdr:colOff>
      <xdr:row>47</xdr:row>
      <xdr:rowOff>9525</xdr:rowOff>
    </xdr:to>
    <xdr:sp macro="" textlink="">
      <xdr:nvSpPr>
        <xdr:cNvPr id="3316936" name="Line 8"/>
        <xdr:cNvSpPr>
          <a:spLocks noChangeShapeType="1"/>
        </xdr:cNvSpPr>
      </xdr:nvSpPr>
      <xdr:spPr bwMode="auto">
        <a:xfrm>
          <a:off x="21345525" y="11696700"/>
          <a:ext cx="628650" cy="266700"/>
        </a:xfrm>
        <a:prstGeom prst="line">
          <a:avLst/>
        </a:prstGeom>
        <a:noFill/>
        <a:ln w="9525">
          <a:solidFill>
            <a:srgbClr val="000000"/>
          </a:solidFill>
          <a:round/>
          <a:headEnd/>
          <a:tailEnd type="triangle" w="med" len="med"/>
        </a:ln>
      </xdr:spPr>
    </xdr:sp>
    <xdr:clientData/>
  </xdr:twoCellAnchor>
  <xdr:twoCellAnchor>
    <xdr:from>
      <xdr:col>83</xdr:col>
      <xdr:colOff>9525</xdr:colOff>
      <xdr:row>46</xdr:row>
      <xdr:rowOff>47625</xdr:rowOff>
    </xdr:from>
    <xdr:to>
      <xdr:col>83</xdr:col>
      <xdr:colOff>19050</xdr:colOff>
      <xdr:row>47</xdr:row>
      <xdr:rowOff>19050</xdr:rowOff>
    </xdr:to>
    <xdr:sp macro="" textlink="">
      <xdr:nvSpPr>
        <xdr:cNvPr id="3316937" name="Line 9"/>
        <xdr:cNvSpPr>
          <a:spLocks noChangeShapeType="1"/>
        </xdr:cNvSpPr>
      </xdr:nvSpPr>
      <xdr:spPr bwMode="auto">
        <a:xfrm>
          <a:off x="42557700" y="11706225"/>
          <a:ext cx="9525" cy="266700"/>
        </a:xfrm>
        <a:prstGeom prst="line">
          <a:avLst/>
        </a:prstGeom>
        <a:noFill/>
        <a:ln w="9525">
          <a:solidFill>
            <a:srgbClr val="000000"/>
          </a:solidFill>
          <a:round/>
          <a:headEnd/>
          <a:tailEnd type="triangle" w="med" len="med"/>
        </a:ln>
      </xdr:spPr>
    </xdr:sp>
    <xdr:clientData/>
  </xdr:twoCellAnchor>
  <xdr:twoCellAnchor>
    <xdr:from>
      <xdr:col>1</xdr:col>
      <xdr:colOff>104775</xdr:colOff>
      <xdr:row>43</xdr:row>
      <xdr:rowOff>0</xdr:rowOff>
    </xdr:from>
    <xdr:to>
      <xdr:col>23</xdr:col>
      <xdr:colOff>9525</xdr:colOff>
      <xdr:row>43</xdr:row>
      <xdr:rowOff>0</xdr:rowOff>
    </xdr:to>
    <xdr:sp macro="" textlink="">
      <xdr:nvSpPr>
        <xdr:cNvPr id="3316938" name="Line 10"/>
        <xdr:cNvSpPr>
          <a:spLocks noChangeShapeType="1"/>
        </xdr:cNvSpPr>
      </xdr:nvSpPr>
      <xdr:spPr bwMode="auto">
        <a:xfrm>
          <a:off x="171450" y="10858500"/>
          <a:ext cx="6572250" cy="0"/>
        </a:xfrm>
        <a:prstGeom prst="line">
          <a:avLst/>
        </a:prstGeom>
        <a:noFill/>
        <a:ln w="25400">
          <a:solidFill>
            <a:srgbClr val="000000"/>
          </a:solidFill>
          <a:round/>
          <a:headEnd type="triangle" w="med" len="med"/>
          <a:tailEnd type="triangle" w="med" len="med"/>
        </a:ln>
      </xdr:spPr>
    </xdr:sp>
    <xdr:clientData/>
  </xdr:twoCellAnchor>
  <xdr:twoCellAnchor>
    <xdr:from>
      <xdr:col>5</xdr:col>
      <xdr:colOff>295275</xdr:colOff>
      <xdr:row>41</xdr:row>
      <xdr:rowOff>247650</xdr:rowOff>
    </xdr:from>
    <xdr:to>
      <xdr:col>6</xdr:col>
      <xdr:colOff>0</xdr:colOff>
      <xdr:row>42</xdr:row>
      <xdr:rowOff>180975</xdr:rowOff>
    </xdr:to>
    <xdr:sp macro="" textlink="">
      <xdr:nvSpPr>
        <xdr:cNvPr id="3316939" name="Line 13"/>
        <xdr:cNvSpPr>
          <a:spLocks noChangeShapeType="1"/>
        </xdr:cNvSpPr>
      </xdr:nvSpPr>
      <xdr:spPr bwMode="auto">
        <a:xfrm flipH="1" flipV="1">
          <a:off x="1543050" y="10601325"/>
          <a:ext cx="9525" cy="247650"/>
        </a:xfrm>
        <a:prstGeom prst="line">
          <a:avLst/>
        </a:prstGeom>
        <a:noFill/>
        <a:ln w="9525">
          <a:solidFill>
            <a:srgbClr val="000000"/>
          </a:solidFill>
          <a:round/>
          <a:headEnd/>
          <a:tailEnd type="triangle" w="med" len="med"/>
        </a:ln>
      </xdr:spPr>
    </xdr:sp>
    <xdr:clientData/>
  </xdr:twoCellAnchor>
  <xdr:twoCellAnchor>
    <xdr:from>
      <xdr:col>5</xdr:col>
      <xdr:colOff>295275</xdr:colOff>
      <xdr:row>38</xdr:row>
      <xdr:rowOff>285750</xdr:rowOff>
    </xdr:from>
    <xdr:to>
      <xdr:col>5</xdr:col>
      <xdr:colOff>295275</xdr:colOff>
      <xdr:row>40</xdr:row>
      <xdr:rowOff>180975</xdr:rowOff>
    </xdr:to>
    <xdr:sp macro="" textlink="">
      <xdr:nvSpPr>
        <xdr:cNvPr id="3316940" name="Line 16"/>
        <xdr:cNvSpPr>
          <a:spLocks noChangeShapeType="1"/>
        </xdr:cNvSpPr>
      </xdr:nvSpPr>
      <xdr:spPr bwMode="auto">
        <a:xfrm>
          <a:off x="1543050" y="10001250"/>
          <a:ext cx="0" cy="314325"/>
        </a:xfrm>
        <a:prstGeom prst="line">
          <a:avLst/>
        </a:prstGeom>
        <a:noFill/>
        <a:ln w="34925">
          <a:solidFill>
            <a:srgbClr val="000000"/>
          </a:solidFill>
          <a:round/>
          <a:headEnd/>
          <a:tailEnd type="triangle" w="med" len="med"/>
        </a:ln>
      </xdr:spPr>
    </xdr:sp>
    <xdr:clientData/>
  </xdr:twoCellAnchor>
  <xdr:twoCellAnchor>
    <xdr:from>
      <xdr:col>10</xdr:col>
      <xdr:colOff>0</xdr:colOff>
      <xdr:row>39</xdr:row>
      <xdr:rowOff>0</xdr:rowOff>
    </xdr:from>
    <xdr:to>
      <xdr:col>10</xdr:col>
      <xdr:colOff>0</xdr:colOff>
      <xdr:row>40</xdr:row>
      <xdr:rowOff>190500</xdr:rowOff>
    </xdr:to>
    <xdr:sp macro="" textlink="">
      <xdr:nvSpPr>
        <xdr:cNvPr id="3316941" name="Line 19"/>
        <xdr:cNvSpPr>
          <a:spLocks noChangeShapeType="1"/>
        </xdr:cNvSpPr>
      </xdr:nvSpPr>
      <xdr:spPr bwMode="auto">
        <a:xfrm>
          <a:off x="2771775" y="10010775"/>
          <a:ext cx="0" cy="314325"/>
        </a:xfrm>
        <a:prstGeom prst="line">
          <a:avLst/>
        </a:prstGeom>
        <a:noFill/>
        <a:ln w="34925">
          <a:solidFill>
            <a:srgbClr val="000000"/>
          </a:solidFill>
          <a:round/>
          <a:headEnd/>
          <a:tailEnd type="triangle" w="med" len="med"/>
        </a:ln>
      </xdr:spPr>
    </xdr:sp>
    <xdr:clientData/>
  </xdr:twoCellAnchor>
  <xdr:twoCellAnchor>
    <xdr:from>
      <xdr:col>14</xdr:col>
      <xdr:colOff>9525</xdr:colOff>
      <xdr:row>39</xdr:row>
      <xdr:rowOff>0</xdr:rowOff>
    </xdr:from>
    <xdr:to>
      <xdr:col>14</xdr:col>
      <xdr:colOff>9525</xdr:colOff>
      <xdr:row>40</xdr:row>
      <xdr:rowOff>190500</xdr:rowOff>
    </xdr:to>
    <xdr:sp macro="" textlink="">
      <xdr:nvSpPr>
        <xdr:cNvPr id="3316942" name="Line 26"/>
        <xdr:cNvSpPr>
          <a:spLocks noChangeShapeType="1"/>
        </xdr:cNvSpPr>
      </xdr:nvSpPr>
      <xdr:spPr bwMode="auto">
        <a:xfrm>
          <a:off x="4000500" y="10010775"/>
          <a:ext cx="0" cy="314325"/>
        </a:xfrm>
        <a:prstGeom prst="line">
          <a:avLst/>
        </a:prstGeom>
        <a:noFill/>
        <a:ln w="34925">
          <a:solidFill>
            <a:srgbClr val="000000"/>
          </a:solidFill>
          <a:round/>
          <a:headEnd/>
          <a:tailEnd type="triangle" w="med" len="med"/>
        </a:ln>
      </xdr:spPr>
    </xdr:sp>
    <xdr:clientData/>
  </xdr:twoCellAnchor>
  <xdr:twoCellAnchor>
    <xdr:from>
      <xdr:col>18</xdr:col>
      <xdr:colOff>0</xdr:colOff>
      <xdr:row>39</xdr:row>
      <xdr:rowOff>0</xdr:rowOff>
    </xdr:from>
    <xdr:to>
      <xdr:col>18</xdr:col>
      <xdr:colOff>0</xdr:colOff>
      <xdr:row>40</xdr:row>
      <xdr:rowOff>190500</xdr:rowOff>
    </xdr:to>
    <xdr:sp macro="" textlink="">
      <xdr:nvSpPr>
        <xdr:cNvPr id="3316943" name="Line 27"/>
        <xdr:cNvSpPr>
          <a:spLocks noChangeShapeType="1"/>
        </xdr:cNvSpPr>
      </xdr:nvSpPr>
      <xdr:spPr bwMode="auto">
        <a:xfrm>
          <a:off x="5210175" y="10010775"/>
          <a:ext cx="0" cy="314325"/>
        </a:xfrm>
        <a:prstGeom prst="line">
          <a:avLst/>
        </a:prstGeom>
        <a:noFill/>
        <a:ln w="34925">
          <a:solidFill>
            <a:srgbClr val="000000"/>
          </a:solidFill>
          <a:round/>
          <a:headEnd/>
          <a:tailEnd type="triangle" w="med" len="med"/>
        </a:ln>
      </xdr:spPr>
    </xdr:sp>
    <xdr:clientData/>
  </xdr:twoCellAnchor>
  <xdr:twoCellAnchor>
    <xdr:from>
      <xdr:col>21</xdr:col>
      <xdr:colOff>295275</xdr:colOff>
      <xdr:row>39</xdr:row>
      <xdr:rowOff>0</xdr:rowOff>
    </xdr:from>
    <xdr:to>
      <xdr:col>21</xdr:col>
      <xdr:colOff>295275</xdr:colOff>
      <xdr:row>40</xdr:row>
      <xdr:rowOff>190500</xdr:rowOff>
    </xdr:to>
    <xdr:sp macro="" textlink="">
      <xdr:nvSpPr>
        <xdr:cNvPr id="3316944" name="Line 28"/>
        <xdr:cNvSpPr>
          <a:spLocks noChangeShapeType="1"/>
        </xdr:cNvSpPr>
      </xdr:nvSpPr>
      <xdr:spPr bwMode="auto">
        <a:xfrm>
          <a:off x="6419850" y="10010775"/>
          <a:ext cx="0" cy="314325"/>
        </a:xfrm>
        <a:prstGeom prst="line">
          <a:avLst/>
        </a:prstGeom>
        <a:noFill/>
        <a:ln w="34925">
          <a:solidFill>
            <a:srgbClr val="000000"/>
          </a:solidFill>
          <a:round/>
          <a:headEnd/>
          <a:tailEnd type="triangle" w="med" len="med"/>
        </a:ln>
      </xdr:spPr>
    </xdr:sp>
    <xdr:clientData/>
  </xdr:twoCellAnchor>
  <xdr:twoCellAnchor>
    <xdr:from>
      <xdr:col>4</xdr:col>
      <xdr:colOff>0</xdr:colOff>
      <xdr:row>44</xdr:row>
      <xdr:rowOff>9525</xdr:rowOff>
    </xdr:from>
    <xdr:to>
      <xdr:col>4</xdr:col>
      <xdr:colOff>0</xdr:colOff>
      <xdr:row>45</xdr:row>
      <xdr:rowOff>28575</xdr:rowOff>
    </xdr:to>
    <xdr:sp macro="" textlink="">
      <xdr:nvSpPr>
        <xdr:cNvPr id="3316945" name="Line 36"/>
        <xdr:cNvSpPr>
          <a:spLocks noChangeShapeType="1"/>
        </xdr:cNvSpPr>
      </xdr:nvSpPr>
      <xdr:spPr bwMode="auto">
        <a:xfrm flipV="1">
          <a:off x="942975" y="11058525"/>
          <a:ext cx="0" cy="314325"/>
        </a:xfrm>
        <a:prstGeom prst="line">
          <a:avLst/>
        </a:prstGeom>
        <a:noFill/>
        <a:ln w="31750">
          <a:solidFill>
            <a:srgbClr val="000000"/>
          </a:solidFill>
          <a:round/>
          <a:headEnd/>
          <a:tailEnd type="triangle" w="med" len="med"/>
        </a:ln>
      </xdr:spPr>
    </xdr:sp>
    <xdr:clientData/>
  </xdr:twoCellAnchor>
  <xdr:twoCellAnchor>
    <xdr:from>
      <xdr:col>8</xdr:col>
      <xdr:colOff>0</xdr:colOff>
      <xdr:row>44</xdr:row>
      <xdr:rowOff>9525</xdr:rowOff>
    </xdr:from>
    <xdr:to>
      <xdr:col>8</xdr:col>
      <xdr:colOff>0</xdr:colOff>
      <xdr:row>45</xdr:row>
      <xdr:rowOff>28575</xdr:rowOff>
    </xdr:to>
    <xdr:sp macro="" textlink="">
      <xdr:nvSpPr>
        <xdr:cNvPr id="3316946" name="Line 37"/>
        <xdr:cNvSpPr>
          <a:spLocks noChangeShapeType="1"/>
        </xdr:cNvSpPr>
      </xdr:nvSpPr>
      <xdr:spPr bwMode="auto">
        <a:xfrm flipV="1">
          <a:off x="2162175" y="11058525"/>
          <a:ext cx="0" cy="314325"/>
        </a:xfrm>
        <a:prstGeom prst="line">
          <a:avLst/>
        </a:prstGeom>
        <a:noFill/>
        <a:ln w="31750">
          <a:solidFill>
            <a:srgbClr val="000000"/>
          </a:solidFill>
          <a:round/>
          <a:headEnd/>
          <a:tailEnd type="triangle" w="med" len="med"/>
        </a:ln>
      </xdr:spPr>
    </xdr:sp>
    <xdr:clientData/>
  </xdr:twoCellAnchor>
  <xdr:twoCellAnchor>
    <xdr:from>
      <xdr:col>12</xdr:col>
      <xdr:colOff>0</xdr:colOff>
      <xdr:row>44</xdr:row>
      <xdr:rowOff>9525</xdr:rowOff>
    </xdr:from>
    <xdr:to>
      <xdr:col>12</xdr:col>
      <xdr:colOff>0</xdr:colOff>
      <xdr:row>45</xdr:row>
      <xdr:rowOff>28575</xdr:rowOff>
    </xdr:to>
    <xdr:sp macro="" textlink="">
      <xdr:nvSpPr>
        <xdr:cNvPr id="3316947" name="Line 38"/>
        <xdr:cNvSpPr>
          <a:spLocks noChangeShapeType="1"/>
        </xdr:cNvSpPr>
      </xdr:nvSpPr>
      <xdr:spPr bwMode="auto">
        <a:xfrm flipV="1">
          <a:off x="3381375" y="11058525"/>
          <a:ext cx="0" cy="314325"/>
        </a:xfrm>
        <a:prstGeom prst="line">
          <a:avLst/>
        </a:prstGeom>
        <a:noFill/>
        <a:ln w="31750">
          <a:solidFill>
            <a:srgbClr val="000000"/>
          </a:solidFill>
          <a:round/>
          <a:headEnd/>
          <a:tailEnd type="triangle" w="med" len="med"/>
        </a:ln>
      </xdr:spPr>
    </xdr:sp>
    <xdr:clientData/>
  </xdr:twoCellAnchor>
  <xdr:twoCellAnchor>
    <xdr:from>
      <xdr:col>20</xdr:col>
      <xdr:colOff>9525</xdr:colOff>
      <xdr:row>44</xdr:row>
      <xdr:rowOff>19050</xdr:rowOff>
    </xdr:from>
    <xdr:to>
      <xdr:col>20</xdr:col>
      <xdr:colOff>9525</xdr:colOff>
      <xdr:row>45</xdr:row>
      <xdr:rowOff>38100</xdr:rowOff>
    </xdr:to>
    <xdr:sp macro="" textlink="">
      <xdr:nvSpPr>
        <xdr:cNvPr id="3316948" name="Line 39"/>
        <xdr:cNvSpPr>
          <a:spLocks noChangeShapeType="1"/>
        </xdr:cNvSpPr>
      </xdr:nvSpPr>
      <xdr:spPr bwMode="auto">
        <a:xfrm flipV="1">
          <a:off x="5829300" y="11068050"/>
          <a:ext cx="0" cy="314325"/>
        </a:xfrm>
        <a:prstGeom prst="line">
          <a:avLst/>
        </a:prstGeom>
        <a:noFill/>
        <a:ln w="31750">
          <a:solidFill>
            <a:srgbClr val="000000"/>
          </a:solidFill>
          <a:round/>
          <a:headEnd/>
          <a:tailEnd type="triangle" w="med" len="med"/>
        </a:ln>
      </xdr:spPr>
    </xdr:sp>
    <xdr:clientData/>
  </xdr:twoCellAnchor>
  <xdr:twoCellAnchor>
    <xdr:from>
      <xdr:col>16</xdr:col>
      <xdr:colOff>0</xdr:colOff>
      <xdr:row>44</xdr:row>
      <xdr:rowOff>28575</xdr:rowOff>
    </xdr:from>
    <xdr:to>
      <xdr:col>16</xdr:col>
      <xdr:colOff>0</xdr:colOff>
      <xdr:row>45</xdr:row>
      <xdr:rowOff>47625</xdr:rowOff>
    </xdr:to>
    <xdr:sp macro="" textlink="">
      <xdr:nvSpPr>
        <xdr:cNvPr id="3316949" name="Line 40"/>
        <xdr:cNvSpPr>
          <a:spLocks noChangeShapeType="1"/>
        </xdr:cNvSpPr>
      </xdr:nvSpPr>
      <xdr:spPr bwMode="auto">
        <a:xfrm flipV="1">
          <a:off x="4600575" y="11077575"/>
          <a:ext cx="0" cy="314325"/>
        </a:xfrm>
        <a:prstGeom prst="line">
          <a:avLst/>
        </a:prstGeom>
        <a:noFill/>
        <a:ln w="31750">
          <a:solidFill>
            <a:srgbClr val="000000"/>
          </a:solidFill>
          <a:round/>
          <a:headEnd/>
          <a:tailEnd type="triangle" w="med" len="med"/>
        </a:ln>
      </xdr:spPr>
    </xdr:sp>
    <xdr:clientData/>
  </xdr:twoCellAnchor>
  <xdr:twoCellAnchor>
    <xdr:from>
      <xdr:col>52</xdr:col>
      <xdr:colOff>57150</xdr:colOff>
      <xdr:row>30</xdr:row>
      <xdr:rowOff>38100</xdr:rowOff>
    </xdr:from>
    <xdr:to>
      <xdr:col>53</xdr:col>
      <xdr:colOff>0</xdr:colOff>
      <xdr:row>31</xdr:row>
      <xdr:rowOff>9525</xdr:rowOff>
    </xdr:to>
    <xdr:sp macro="" textlink="">
      <xdr:nvSpPr>
        <xdr:cNvPr id="3316950" name="Line 41"/>
        <xdr:cNvSpPr>
          <a:spLocks noChangeShapeType="1"/>
        </xdr:cNvSpPr>
      </xdr:nvSpPr>
      <xdr:spPr bwMode="auto">
        <a:xfrm>
          <a:off x="21345525" y="7372350"/>
          <a:ext cx="628650" cy="266700"/>
        </a:xfrm>
        <a:prstGeom prst="line">
          <a:avLst/>
        </a:prstGeom>
        <a:noFill/>
        <a:ln w="9525">
          <a:solidFill>
            <a:srgbClr val="000000"/>
          </a:solidFill>
          <a:round/>
          <a:headEnd/>
          <a:tailEnd type="triangle" w="med" len="med"/>
        </a:ln>
      </xdr:spPr>
    </xdr:sp>
    <xdr:clientData/>
  </xdr:twoCellAnchor>
  <xdr:twoCellAnchor>
    <xdr:from>
      <xdr:col>83</xdr:col>
      <xdr:colOff>9525</xdr:colOff>
      <xdr:row>30</xdr:row>
      <xdr:rowOff>47625</xdr:rowOff>
    </xdr:from>
    <xdr:to>
      <xdr:col>83</xdr:col>
      <xdr:colOff>19050</xdr:colOff>
      <xdr:row>31</xdr:row>
      <xdr:rowOff>19050</xdr:rowOff>
    </xdr:to>
    <xdr:sp macro="" textlink="">
      <xdr:nvSpPr>
        <xdr:cNvPr id="3316951" name="Line 42"/>
        <xdr:cNvSpPr>
          <a:spLocks noChangeShapeType="1"/>
        </xdr:cNvSpPr>
      </xdr:nvSpPr>
      <xdr:spPr bwMode="auto">
        <a:xfrm>
          <a:off x="42557700" y="7381875"/>
          <a:ext cx="9525" cy="266700"/>
        </a:xfrm>
        <a:prstGeom prst="line">
          <a:avLst/>
        </a:prstGeom>
        <a:noFill/>
        <a:ln w="9525">
          <a:solidFill>
            <a:srgbClr val="000000"/>
          </a:solidFill>
          <a:round/>
          <a:headEnd/>
          <a:tailEnd type="triangle" w="med" len="med"/>
        </a:ln>
      </xdr:spPr>
    </xdr:sp>
    <xdr:clientData/>
  </xdr:twoCellAnchor>
  <xdr:twoCellAnchor>
    <xdr:from>
      <xdr:col>1</xdr:col>
      <xdr:colOff>104775</xdr:colOff>
      <xdr:row>27</xdr:row>
      <xdr:rowOff>0</xdr:rowOff>
    </xdr:from>
    <xdr:to>
      <xdr:col>23</xdr:col>
      <xdr:colOff>9525</xdr:colOff>
      <xdr:row>27</xdr:row>
      <xdr:rowOff>0</xdr:rowOff>
    </xdr:to>
    <xdr:sp macro="" textlink="">
      <xdr:nvSpPr>
        <xdr:cNvPr id="3316952" name="Line 43"/>
        <xdr:cNvSpPr>
          <a:spLocks noChangeShapeType="1"/>
        </xdr:cNvSpPr>
      </xdr:nvSpPr>
      <xdr:spPr bwMode="auto">
        <a:xfrm>
          <a:off x="171450" y="6543675"/>
          <a:ext cx="6572250" cy="0"/>
        </a:xfrm>
        <a:prstGeom prst="line">
          <a:avLst/>
        </a:prstGeom>
        <a:noFill/>
        <a:ln w="25400">
          <a:solidFill>
            <a:srgbClr val="000000"/>
          </a:solidFill>
          <a:round/>
          <a:headEnd type="triangle" w="med" len="med"/>
          <a:tailEnd type="triangle" w="med" len="med"/>
        </a:ln>
      </xdr:spPr>
    </xdr:sp>
    <xdr:clientData/>
  </xdr:twoCellAnchor>
  <xdr:twoCellAnchor>
    <xdr:from>
      <xdr:col>5</xdr:col>
      <xdr:colOff>295275</xdr:colOff>
      <xdr:row>25</xdr:row>
      <xdr:rowOff>247650</xdr:rowOff>
    </xdr:from>
    <xdr:to>
      <xdr:col>6</xdr:col>
      <xdr:colOff>0</xdr:colOff>
      <xdr:row>26</xdr:row>
      <xdr:rowOff>180975</xdr:rowOff>
    </xdr:to>
    <xdr:sp macro="" textlink="">
      <xdr:nvSpPr>
        <xdr:cNvPr id="3316953" name="Line 44"/>
        <xdr:cNvSpPr>
          <a:spLocks noChangeShapeType="1"/>
        </xdr:cNvSpPr>
      </xdr:nvSpPr>
      <xdr:spPr bwMode="auto">
        <a:xfrm flipH="1" flipV="1">
          <a:off x="1543050" y="6315075"/>
          <a:ext cx="9525" cy="228600"/>
        </a:xfrm>
        <a:prstGeom prst="line">
          <a:avLst/>
        </a:prstGeom>
        <a:noFill/>
        <a:ln w="9525">
          <a:solidFill>
            <a:srgbClr val="000000"/>
          </a:solidFill>
          <a:round/>
          <a:headEnd/>
          <a:tailEnd type="triangle" w="med" len="med"/>
        </a:ln>
      </xdr:spPr>
    </xdr:sp>
    <xdr:clientData/>
  </xdr:twoCellAnchor>
  <xdr:twoCellAnchor>
    <xdr:from>
      <xdr:col>5</xdr:col>
      <xdr:colOff>295275</xdr:colOff>
      <xdr:row>22</xdr:row>
      <xdr:rowOff>285750</xdr:rowOff>
    </xdr:from>
    <xdr:to>
      <xdr:col>5</xdr:col>
      <xdr:colOff>295275</xdr:colOff>
      <xdr:row>24</xdr:row>
      <xdr:rowOff>180975</xdr:rowOff>
    </xdr:to>
    <xdr:sp macro="" textlink="">
      <xdr:nvSpPr>
        <xdr:cNvPr id="3316954" name="Line 45"/>
        <xdr:cNvSpPr>
          <a:spLocks noChangeShapeType="1"/>
        </xdr:cNvSpPr>
      </xdr:nvSpPr>
      <xdr:spPr bwMode="auto">
        <a:xfrm>
          <a:off x="1543050" y="5715000"/>
          <a:ext cx="0" cy="314325"/>
        </a:xfrm>
        <a:prstGeom prst="line">
          <a:avLst/>
        </a:prstGeom>
        <a:noFill/>
        <a:ln w="34925">
          <a:solidFill>
            <a:srgbClr val="000000"/>
          </a:solidFill>
          <a:round/>
          <a:headEnd/>
          <a:tailEnd type="triangle" w="med" len="med"/>
        </a:ln>
      </xdr:spPr>
    </xdr:sp>
    <xdr:clientData/>
  </xdr:twoCellAnchor>
  <xdr:twoCellAnchor>
    <xdr:from>
      <xdr:col>10</xdr:col>
      <xdr:colOff>0</xdr:colOff>
      <xdr:row>23</xdr:row>
      <xdr:rowOff>0</xdr:rowOff>
    </xdr:from>
    <xdr:to>
      <xdr:col>10</xdr:col>
      <xdr:colOff>0</xdr:colOff>
      <xdr:row>24</xdr:row>
      <xdr:rowOff>190500</xdr:rowOff>
    </xdr:to>
    <xdr:sp macro="" textlink="">
      <xdr:nvSpPr>
        <xdr:cNvPr id="3316955" name="Line 46"/>
        <xdr:cNvSpPr>
          <a:spLocks noChangeShapeType="1"/>
        </xdr:cNvSpPr>
      </xdr:nvSpPr>
      <xdr:spPr bwMode="auto">
        <a:xfrm>
          <a:off x="2771775" y="5724525"/>
          <a:ext cx="0" cy="314325"/>
        </a:xfrm>
        <a:prstGeom prst="line">
          <a:avLst/>
        </a:prstGeom>
        <a:noFill/>
        <a:ln w="34925">
          <a:solidFill>
            <a:srgbClr val="000000"/>
          </a:solidFill>
          <a:round/>
          <a:headEnd/>
          <a:tailEnd type="triangle" w="med" len="med"/>
        </a:ln>
      </xdr:spPr>
    </xdr:sp>
    <xdr:clientData/>
  </xdr:twoCellAnchor>
  <xdr:twoCellAnchor>
    <xdr:from>
      <xdr:col>14</xdr:col>
      <xdr:colOff>9525</xdr:colOff>
      <xdr:row>23</xdr:row>
      <xdr:rowOff>0</xdr:rowOff>
    </xdr:from>
    <xdr:to>
      <xdr:col>14</xdr:col>
      <xdr:colOff>9525</xdr:colOff>
      <xdr:row>24</xdr:row>
      <xdr:rowOff>190500</xdr:rowOff>
    </xdr:to>
    <xdr:sp macro="" textlink="">
      <xdr:nvSpPr>
        <xdr:cNvPr id="3316956" name="Line 47"/>
        <xdr:cNvSpPr>
          <a:spLocks noChangeShapeType="1"/>
        </xdr:cNvSpPr>
      </xdr:nvSpPr>
      <xdr:spPr bwMode="auto">
        <a:xfrm>
          <a:off x="4000500" y="5724525"/>
          <a:ext cx="0" cy="314325"/>
        </a:xfrm>
        <a:prstGeom prst="line">
          <a:avLst/>
        </a:prstGeom>
        <a:noFill/>
        <a:ln w="34925">
          <a:solidFill>
            <a:srgbClr val="000000"/>
          </a:solidFill>
          <a:round/>
          <a:headEnd/>
          <a:tailEnd type="triangle" w="med" len="med"/>
        </a:ln>
      </xdr:spPr>
    </xdr:sp>
    <xdr:clientData/>
  </xdr:twoCellAnchor>
  <xdr:twoCellAnchor>
    <xdr:from>
      <xdr:col>18</xdr:col>
      <xdr:colOff>0</xdr:colOff>
      <xdr:row>23</xdr:row>
      <xdr:rowOff>0</xdr:rowOff>
    </xdr:from>
    <xdr:to>
      <xdr:col>18</xdr:col>
      <xdr:colOff>0</xdr:colOff>
      <xdr:row>24</xdr:row>
      <xdr:rowOff>190500</xdr:rowOff>
    </xdr:to>
    <xdr:sp macro="" textlink="">
      <xdr:nvSpPr>
        <xdr:cNvPr id="3316957" name="Line 48"/>
        <xdr:cNvSpPr>
          <a:spLocks noChangeShapeType="1"/>
        </xdr:cNvSpPr>
      </xdr:nvSpPr>
      <xdr:spPr bwMode="auto">
        <a:xfrm>
          <a:off x="5210175" y="5724525"/>
          <a:ext cx="0" cy="314325"/>
        </a:xfrm>
        <a:prstGeom prst="line">
          <a:avLst/>
        </a:prstGeom>
        <a:noFill/>
        <a:ln w="34925">
          <a:solidFill>
            <a:srgbClr val="000000"/>
          </a:solidFill>
          <a:round/>
          <a:headEnd/>
          <a:tailEnd type="triangle" w="med" len="med"/>
        </a:ln>
      </xdr:spPr>
    </xdr:sp>
    <xdr:clientData/>
  </xdr:twoCellAnchor>
  <xdr:twoCellAnchor>
    <xdr:from>
      <xdr:col>21</xdr:col>
      <xdr:colOff>295275</xdr:colOff>
      <xdr:row>23</xdr:row>
      <xdr:rowOff>0</xdr:rowOff>
    </xdr:from>
    <xdr:to>
      <xdr:col>21</xdr:col>
      <xdr:colOff>295275</xdr:colOff>
      <xdr:row>24</xdr:row>
      <xdr:rowOff>190500</xdr:rowOff>
    </xdr:to>
    <xdr:sp macro="" textlink="">
      <xdr:nvSpPr>
        <xdr:cNvPr id="3316958" name="Line 49"/>
        <xdr:cNvSpPr>
          <a:spLocks noChangeShapeType="1"/>
        </xdr:cNvSpPr>
      </xdr:nvSpPr>
      <xdr:spPr bwMode="auto">
        <a:xfrm>
          <a:off x="6419850" y="5724525"/>
          <a:ext cx="0" cy="314325"/>
        </a:xfrm>
        <a:prstGeom prst="line">
          <a:avLst/>
        </a:prstGeom>
        <a:noFill/>
        <a:ln w="34925">
          <a:solidFill>
            <a:srgbClr val="000000"/>
          </a:solidFill>
          <a:round/>
          <a:headEnd/>
          <a:tailEnd type="triangle" w="med" len="med"/>
        </a:ln>
      </xdr:spPr>
    </xdr:sp>
    <xdr:clientData/>
  </xdr:twoCellAnchor>
  <xdr:twoCellAnchor>
    <xdr:from>
      <xdr:col>4</xdr:col>
      <xdr:colOff>0</xdr:colOff>
      <xdr:row>28</xdr:row>
      <xdr:rowOff>9525</xdr:rowOff>
    </xdr:from>
    <xdr:to>
      <xdr:col>4</xdr:col>
      <xdr:colOff>0</xdr:colOff>
      <xdr:row>29</xdr:row>
      <xdr:rowOff>28575</xdr:rowOff>
    </xdr:to>
    <xdr:sp macro="" textlink="">
      <xdr:nvSpPr>
        <xdr:cNvPr id="3316959" name="Line 50"/>
        <xdr:cNvSpPr>
          <a:spLocks noChangeShapeType="1"/>
        </xdr:cNvSpPr>
      </xdr:nvSpPr>
      <xdr:spPr bwMode="auto">
        <a:xfrm flipV="1">
          <a:off x="942975" y="6734175"/>
          <a:ext cx="0" cy="314325"/>
        </a:xfrm>
        <a:prstGeom prst="line">
          <a:avLst/>
        </a:prstGeom>
        <a:noFill/>
        <a:ln w="31750">
          <a:solidFill>
            <a:srgbClr val="000000"/>
          </a:solidFill>
          <a:round/>
          <a:headEnd/>
          <a:tailEnd type="triangle" w="med" len="med"/>
        </a:ln>
      </xdr:spPr>
    </xdr:sp>
    <xdr:clientData/>
  </xdr:twoCellAnchor>
  <xdr:twoCellAnchor>
    <xdr:from>
      <xdr:col>8</xdr:col>
      <xdr:colOff>0</xdr:colOff>
      <xdr:row>28</xdr:row>
      <xdr:rowOff>9525</xdr:rowOff>
    </xdr:from>
    <xdr:to>
      <xdr:col>8</xdr:col>
      <xdr:colOff>0</xdr:colOff>
      <xdr:row>29</xdr:row>
      <xdr:rowOff>28575</xdr:rowOff>
    </xdr:to>
    <xdr:sp macro="" textlink="">
      <xdr:nvSpPr>
        <xdr:cNvPr id="3316960" name="Line 51"/>
        <xdr:cNvSpPr>
          <a:spLocks noChangeShapeType="1"/>
        </xdr:cNvSpPr>
      </xdr:nvSpPr>
      <xdr:spPr bwMode="auto">
        <a:xfrm flipV="1">
          <a:off x="2162175" y="6734175"/>
          <a:ext cx="0" cy="314325"/>
        </a:xfrm>
        <a:prstGeom prst="line">
          <a:avLst/>
        </a:prstGeom>
        <a:noFill/>
        <a:ln w="31750">
          <a:solidFill>
            <a:srgbClr val="000000"/>
          </a:solidFill>
          <a:round/>
          <a:headEnd/>
          <a:tailEnd type="triangle" w="med" len="med"/>
        </a:ln>
      </xdr:spPr>
    </xdr:sp>
    <xdr:clientData/>
  </xdr:twoCellAnchor>
  <xdr:twoCellAnchor>
    <xdr:from>
      <xdr:col>12</xdr:col>
      <xdr:colOff>0</xdr:colOff>
      <xdr:row>28</xdr:row>
      <xdr:rowOff>9525</xdr:rowOff>
    </xdr:from>
    <xdr:to>
      <xdr:col>12</xdr:col>
      <xdr:colOff>0</xdr:colOff>
      <xdr:row>29</xdr:row>
      <xdr:rowOff>28575</xdr:rowOff>
    </xdr:to>
    <xdr:sp macro="" textlink="">
      <xdr:nvSpPr>
        <xdr:cNvPr id="3316961" name="Line 52"/>
        <xdr:cNvSpPr>
          <a:spLocks noChangeShapeType="1"/>
        </xdr:cNvSpPr>
      </xdr:nvSpPr>
      <xdr:spPr bwMode="auto">
        <a:xfrm flipV="1">
          <a:off x="3381375" y="6734175"/>
          <a:ext cx="0" cy="314325"/>
        </a:xfrm>
        <a:prstGeom prst="line">
          <a:avLst/>
        </a:prstGeom>
        <a:noFill/>
        <a:ln w="31750">
          <a:solidFill>
            <a:srgbClr val="000000"/>
          </a:solidFill>
          <a:round/>
          <a:headEnd/>
          <a:tailEnd type="triangle" w="med" len="med"/>
        </a:ln>
      </xdr:spPr>
    </xdr:sp>
    <xdr:clientData/>
  </xdr:twoCellAnchor>
  <xdr:twoCellAnchor>
    <xdr:from>
      <xdr:col>20</xdr:col>
      <xdr:colOff>9525</xdr:colOff>
      <xdr:row>28</xdr:row>
      <xdr:rowOff>19050</xdr:rowOff>
    </xdr:from>
    <xdr:to>
      <xdr:col>20</xdr:col>
      <xdr:colOff>9525</xdr:colOff>
      <xdr:row>29</xdr:row>
      <xdr:rowOff>38100</xdr:rowOff>
    </xdr:to>
    <xdr:sp macro="" textlink="">
      <xdr:nvSpPr>
        <xdr:cNvPr id="3316962" name="Line 53"/>
        <xdr:cNvSpPr>
          <a:spLocks noChangeShapeType="1"/>
        </xdr:cNvSpPr>
      </xdr:nvSpPr>
      <xdr:spPr bwMode="auto">
        <a:xfrm flipV="1">
          <a:off x="5829300" y="6743700"/>
          <a:ext cx="0" cy="314325"/>
        </a:xfrm>
        <a:prstGeom prst="line">
          <a:avLst/>
        </a:prstGeom>
        <a:noFill/>
        <a:ln w="31750">
          <a:solidFill>
            <a:srgbClr val="000000"/>
          </a:solidFill>
          <a:round/>
          <a:headEnd/>
          <a:tailEnd type="triangle" w="med" len="med"/>
        </a:ln>
      </xdr:spPr>
    </xdr:sp>
    <xdr:clientData/>
  </xdr:twoCellAnchor>
  <xdr:twoCellAnchor>
    <xdr:from>
      <xdr:col>16</xdr:col>
      <xdr:colOff>0</xdr:colOff>
      <xdr:row>28</xdr:row>
      <xdr:rowOff>28575</xdr:rowOff>
    </xdr:from>
    <xdr:to>
      <xdr:col>16</xdr:col>
      <xdr:colOff>0</xdr:colOff>
      <xdr:row>29</xdr:row>
      <xdr:rowOff>47625</xdr:rowOff>
    </xdr:to>
    <xdr:sp macro="" textlink="">
      <xdr:nvSpPr>
        <xdr:cNvPr id="3316963" name="Line 54"/>
        <xdr:cNvSpPr>
          <a:spLocks noChangeShapeType="1"/>
        </xdr:cNvSpPr>
      </xdr:nvSpPr>
      <xdr:spPr bwMode="auto">
        <a:xfrm flipV="1">
          <a:off x="4600575" y="6753225"/>
          <a:ext cx="0" cy="314325"/>
        </a:xfrm>
        <a:prstGeom prst="line">
          <a:avLst/>
        </a:prstGeom>
        <a:noFill/>
        <a:ln w="31750">
          <a:solidFill>
            <a:srgbClr val="000000"/>
          </a:solidFill>
          <a:round/>
          <a:headEnd/>
          <a:tailEnd type="triangle" w="med" len="med"/>
        </a:ln>
      </xdr:spPr>
    </xdr:sp>
    <xdr:clientData/>
  </xdr:twoCellAnchor>
  <xdr:twoCellAnchor>
    <xdr:from>
      <xdr:col>1</xdr:col>
      <xdr:colOff>180975</xdr:colOff>
      <xdr:row>32</xdr:row>
      <xdr:rowOff>95250</xdr:rowOff>
    </xdr:from>
    <xdr:to>
      <xdr:col>5</xdr:col>
      <xdr:colOff>190500</xdr:colOff>
      <xdr:row>33</xdr:row>
      <xdr:rowOff>228600</xdr:rowOff>
    </xdr:to>
    <xdr:sp macro="" textlink="">
      <xdr:nvSpPr>
        <xdr:cNvPr id="67654" name="WordArt 70"/>
        <xdr:cNvSpPr>
          <a:spLocks noChangeArrowheads="1" noChangeShapeType="1" noTextEdit="1"/>
        </xdr:cNvSpPr>
      </xdr:nvSpPr>
      <xdr:spPr bwMode="auto">
        <a:xfrm>
          <a:off x="247650" y="8020050"/>
          <a:ext cx="1190625" cy="5143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Βαθμολογία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8</xdr:col>
      <xdr:colOff>0</xdr:colOff>
      <xdr:row>44</xdr:row>
      <xdr:rowOff>9525</xdr:rowOff>
    </xdr:from>
    <xdr:to>
      <xdr:col>8</xdr:col>
      <xdr:colOff>0</xdr:colOff>
      <xdr:row>45</xdr:row>
      <xdr:rowOff>28575</xdr:rowOff>
    </xdr:to>
    <xdr:sp macro="" textlink="">
      <xdr:nvSpPr>
        <xdr:cNvPr id="3316965" name="Line 80"/>
        <xdr:cNvSpPr>
          <a:spLocks noChangeShapeType="1"/>
        </xdr:cNvSpPr>
      </xdr:nvSpPr>
      <xdr:spPr bwMode="auto">
        <a:xfrm flipV="1">
          <a:off x="2162175" y="11058525"/>
          <a:ext cx="0" cy="314325"/>
        </a:xfrm>
        <a:prstGeom prst="line">
          <a:avLst/>
        </a:prstGeom>
        <a:noFill/>
        <a:ln w="31750">
          <a:solidFill>
            <a:srgbClr val="000000"/>
          </a:solidFill>
          <a:round/>
          <a:headEnd/>
          <a:tailEnd type="triangle" w="med" len="med"/>
        </a:ln>
      </xdr:spPr>
    </xdr:sp>
    <xdr:clientData/>
  </xdr:twoCellAnchor>
  <xdr:twoCellAnchor>
    <xdr:from>
      <xdr:col>12</xdr:col>
      <xdr:colOff>0</xdr:colOff>
      <xdr:row>44</xdr:row>
      <xdr:rowOff>9525</xdr:rowOff>
    </xdr:from>
    <xdr:to>
      <xdr:col>12</xdr:col>
      <xdr:colOff>0</xdr:colOff>
      <xdr:row>45</xdr:row>
      <xdr:rowOff>28575</xdr:rowOff>
    </xdr:to>
    <xdr:sp macro="" textlink="">
      <xdr:nvSpPr>
        <xdr:cNvPr id="3316966" name="Line 82"/>
        <xdr:cNvSpPr>
          <a:spLocks noChangeShapeType="1"/>
        </xdr:cNvSpPr>
      </xdr:nvSpPr>
      <xdr:spPr bwMode="auto">
        <a:xfrm flipV="1">
          <a:off x="3381375" y="11058525"/>
          <a:ext cx="0" cy="314325"/>
        </a:xfrm>
        <a:prstGeom prst="line">
          <a:avLst/>
        </a:prstGeom>
        <a:noFill/>
        <a:ln w="31750">
          <a:solidFill>
            <a:srgbClr val="000000"/>
          </a:solidFill>
          <a:round/>
          <a:headEnd/>
          <a:tailEnd type="triangle" w="med" len="med"/>
        </a:ln>
      </xdr:spPr>
    </xdr:sp>
    <xdr:clientData/>
  </xdr:twoCellAnchor>
  <xdr:twoCellAnchor>
    <xdr:from>
      <xdr:col>16</xdr:col>
      <xdr:colOff>0</xdr:colOff>
      <xdr:row>44</xdr:row>
      <xdr:rowOff>9525</xdr:rowOff>
    </xdr:from>
    <xdr:to>
      <xdr:col>16</xdr:col>
      <xdr:colOff>0</xdr:colOff>
      <xdr:row>45</xdr:row>
      <xdr:rowOff>28575</xdr:rowOff>
    </xdr:to>
    <xdr:sp macro="" textlink="">
      <xdr:nvSpPr>
        <xdr:cNvPr id="3316967" name="Line 84"/>
        <xdr:cNvSpPr>
          <a:spLocks noChangeShapeType="1"/>
        </xdr:cNvSpPr>
      </xdr:nvSpPr>
      <xdr:spPr bwMode="auto">
        <a:xfrm flipV="1">
          <a:off x="4600575" y="11058525"/>
          <a:ext cx="0" cy="314325"/>
        </a:xfrm>
        <a:prstGeom prst="line">
          <a:avLst/>
        </a:prstGeom>
        <a:noFill/>
        <a:ln w="31750">
          <a:solidFill>
            <a:srgbClr val="000000"/>
          </a:solidFill>
          <a:round/>
          <a:headEnd/>
          <a:tailEnd type="triangle" w="med" len="med"/>
        </a:ln>
      </xdr:spPr>
    </xdr:sp>
    <xdr:clientData/>
  </xdr:twoCellAnchor>
  <xdr:twoCellAnchor>
    <xdr:from>
      <xdr:col>20</xdr:col>
      <xdr:colOff>0</xdr:colOff>
      <xdr:row>44</xdr:row>
      <xdr:rowOff>9525</xdr:rowOff>
    </xdr:from>
    <xdr:to>
      <xdr:col>20</xdr:col>
      <xdr:colOff>0</xdr:colOff>
      <xdr:row>45</xdr:row>
      <xdr:rowOff>28575</xdr:rowOff>
    </xdr:to>
    <xdr:sp macro="" textlink="">
      <xdr:nvSpPr>
        <xdr:cNvPr id="3316968" name="Line 86"/>
        <xdr:cNvSpPr>
          <a:spLocks noChangeShapeType="1"/>
        </xdr:cNvSpPr>
      </xdr:nvSpPr>
      <xdr:spPr bwMode="auto">
        <a:xfrm flipV="1">
          <a:off x="5819775" y="11058525"/>
          <a:ext cx="0" cy="314325"/>
        </a:xfrm>
        <a:prstGeom prst="line">
          <a:avLst/>
        </a:prstGeom>
        <a:noFill/>
        <a:ln w="31750">
          <a:solidFill>
            <a:srgbClr val="000000"/>
          </a:solidFill>
          <a:round/>
          <a:headEnd/>
          <a:tailEnd type="triangle" w="med" len="med"/>
        </a:ln>
      </xdr:spPr>
    </xdr:sp>
    <xdr:clientData/>
  </xdr:twoCellAnchor>
  <xdr:twoCellAnchor>
    <xdr:from>
      <xdr:col>19</xdr:col>
      <xdr:colOff>47625</xdr:colOff>
      <xdr:row>0</xdr:row>
      <xdr:rowOff>333375</xdr:rowOff>
    </xdr:from>
    <xdr:to>
      <xdr:col>25</xdr:col>
      <xdr:colOff>66675</xdr:colOff>
      <xdr:row>1</xdr:row>
      <xdr:rowOff>123825</xdr:rowOff>
    </xdr:to>
    <xdr:sp macro="" textlink="">
      <xdr:nvSpPr>
        <xdr:cNvPr id="67681" name="AutoShape 97">
          <a:hlinkClick xmlns:r="http://schemas.openxmlformats.org/officeDocument/2006/relationships" r:id="rId1"/>
        </xdr:cNvPr>
        <xdr:cNvSpPr>
          <a:spLocks noChangeArrowheads="1"/>
        </xdr:cNvSpPr>
      </xdr:nvSpPr>
      <xdr:spPr bwMode="auto">
        <a:xfrm>
          <a:off x="5562600" y="333375"/>
          <a:ext cx="1847850" cy="4000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27432" tIns="36576" rIns="27432" bIns="36576" anchor="ctr" upright="1"/>
        <a:lstStyle/>
        <a:p>
          <a:pPr algn="ctr" rtl="0">
            <a:defRPr sz="1000"/>
          </a:pPr>
          <a:r>
            <a:rPr lang="el-GR" sz="1000" b="1" i="0" strike="noStrike">
              <a:solidFill>
                <a:srgbClr val="000000"/>
              </a:solidFill>
              <a:latin typeface="Comic Sans MS"/>
            </a:rPr>
            <a:t>ΕΠΙΣΤΡΟΦΗ</a:t>
          </a:r>
        </a:p>
      </xdr:txBody>
    </xdr:sp>
    <xdr:clientData/>
  </xdr:twoCellAnchor>
  <xdr:twoCellAnchor>
    <xdr:from>
      <xdr:col>12</xdr:col>
      <xdr:colOff>47625</xdr:colOff>
      <xdr:row>51</xdr:row>
      <xdr:rowOff>47625</xdr:rowOff>
    </xdr:from>
    <xdr:to>
      <xdr:col>18</xdr:col>
      <xdr:colOff>66675</xdr:colOff>
      <xdr:row>52</xdr:row>
      <xdr:rowOff>161925</xdr:rowOff>
    </xdr:to>
    <xdr:sp macro="" textlink="">
      <xdr:nvSpPr>
        <xdr:cNvPr id="67682" name="AutoShape 98">
          <a:hlinkClick xmlns:r="http://schemas.openxmlformats.org/officeDocument/2006/relationships" r:id="rId2"/>
        </xdr:cNvPr>
        <xdr:cNvSpPr>
          <a:spLocks noChangeArrowheads="1"/>
        </xdr:cNvSpPr>
      </xdr:nvSpPr>
      <xdr:spPr bwMode="auto">
        <a:xfrm>
          <a:off x="3429000" y="13154025"/>
          <a:ext cx="1847850" cy="4000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27432" tIns="36576" rIns="27432" bIns="36576" anchor="ctr" upright="1"/>
        <a:lstStyle/>
        <a:p>
          <a:pPr algn="ctr" rtl="0">
            <a:defRPr sz="1000"/>
          </a:pPr>
          <a:r>
            <a:rPr lang="el-GR" sz="1000" b="1" i="0" strike="noStrike">
              <a:solidFill>
                <a:srgbClr val="000000"/>
              </a:solidFill>
              <a:latin typeface="Comic Sans MS"/>
            </a:rPr>
            <a:t>ΕΠΙΣΤΡΟΦΗ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23</xdr:row>
      <xdr:rowOff>200025</xdr:rowOff>
    </xdr:from>
    <xdr:to>
      <xdr:col>2</xdr:col>
      <xdr:colOff>523875</xdr:colOff>
      <xdr:row>25</xdr:row>
      <xdr:rowOff>171450</xdr:rowOff>
    </xdr:to>
    <xdr:sp macro="" textlink="">
      <xdr:nvSpPr>
        <xdr:cNvPr id="3579296" name="Oval 1042"/>
        <xdr:cNvSpPr>
          <a:spLocks noChangeArrowheads="1"/>
        </xdr:cNvSpPr>
      </xdr:nvSpPr>
      <xdr:spPr bwMode="auto">
        <a:xfrm>
          <a:off x="657225" y="5524500"/>
          <a:ext cx="428625" cy="466725"/>
        </a:xfrm>
        <a:prstGeom prst="ellipse">
          <a:avLst/>
        </a:prstGeom>
        <a:solidFill>
          <a:srgbClr val="FFFF00"/>
        </a:solidFill>
        <a:ln w="9525">
          <a:solidFill>
            <a:srgbClr val="000000"/>
          </a:solidFill>
          <a:round/>
          <a:headEnd/>
          <a:tailEnd/>
        </a:ln>
      </xdr:spPr>
    </xdr:sp>
    <xdr:clientData/>
  </xdr:twoCellAnchor>
  <xdr:twoCellAnchor>
    <xdr:from>
      <xdr:col>1</xdr:col>
      <xdr:colOff>0</xdr:colOff>
      <xdr:row>0</xdr:row>
      <xdr:rowOff>19050</xdr:rowOff>
    </xdr:from>
    <xdr:to>
      <xdr:col>10</xdr:col>
      <xdr:colOff>114300</xdr:colOff>
      <xdr:row>2</xdr:row>
      <xdr:rowOff>66675</xdr:rowOff>
    </xdr:to>
    <xdr:sp macro="" textlink="">
      <xdr:nvSpPr>
        <xdr:cNvPr id="53249" name="WordArt 1025"/>
        <xdr:cNvSpPr>
          <a:spLocks noChangeArrowheads="1" noChangeShapeType="1" noTextEdit="1"/>
        </xdr:cNvSpPr>
      </xdr:nvSpPr>
      <xdr:spPr bwMode="auto">
        <a:xfrm>
          <a:off x="295275" y="19050"/>
          <a:ext cx="3943350" cy="54292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Το καρναβάλι των αριθμών</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238125</xdr:colOff>
      <xdr:row>25</xdr:row>
      <xdr:rowOff>171450</xdr:rowOff>
    </xdr:from>
    <xdr:to>
      <xdr:col>2</xdr:col>
      <xdr:colOff>419100</xdr:colOff>
      <xdr:row>27</xdr:row>
      <xdr:rowOff>0</xdr:rowOff>
    </xdr:to>
    <xdr:sp macro="" textlink="">
      <xdr:nvSpPr>
        <xdr:cNvPr id="3579298" name="Text Box 1030"/>
        <xdr:cNvSpPr txBox="1">
          <a:spLocks noChangeArrowheads="1"/>
        </xdr:cNvSpPr>
      </xdr:nvSpPr>
      <xdr:spPr bwMode="auto">
        <a:xfrm>
          <a:off x="800100" y="5991225"/>
          <a:ext cx="180975" cy="152400"/>
        </a:xfrm>
        <a:prstGeom prst="rect">
          <a:avLst/>
        </a:prstGeom>
        <a:solidFill>
          <a:srgbClr val="FFFF00"/>
        </a:solidFill>
        <a:ln w="9525">
          <a:noFill/>
          <a:miter lim="800000"/>
          <a:headEnd/>
          <a:tailEnd/>
        </a:ln>
      </xdr:spPr>
    </xdr:sp>
    <xdr:clientData/>
  </xdr:twoCellAnchor>
  <xdr:twoCellAnchor>
    <xdr:from>
      <xdr:col>0</xdr:col>
      <xdr:colOff>371475</xdr:colOff>
      <xdr:row>25</xdr:row>
      <xdr:rowOff>142875</xdr:rowOff>
    </xdr:from>
    <xdr:to>
      <xdr:col>2</xdr:col>
      <xdr:colOff>276225</xdr:colOff>
      <xdr:row>27</xdr:row>
      <xdr:rowOff>47625</xdr:rowOff>
    </xdr:to>
    <xdr:sp macro="" textlink="">
      <xdr:nvSpPr>
        <xdr:cNvPr id="3579299" name="Freeform 1036"/>
        <xdr:cNvSpPr>
          <a:spLocks/>
        </xdr:cNvSpPr>
      </xdr:nvSpPr>
      <xdr:spPr bwMode="auto">
        <a:xfrm>
          <a:off x="295275" y="5962650"/>
          <a:ext cx="542925"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2</xdr:col>
      <xdr:colOff>409575</xdr:colOff>
      <xdr:row>25</xdr:row>
      <xdr:rowOff>161925</xdr:rowOff>
    </xdr:from>
    <xdr:to>
      <xdr:col>4</xdr:col>
      <xdr:colOff>19050</xdr:colOff>
      <xdr:row>27</xdr:row>
      <xdr:rowOff>9525</xdr:rowOff>
    </xdr:to>
    <xdr:sp macro="" textlink="">
      <xdr:nvSpPr>
        <xdr:cNvPr id="3579300" name="Freeform 1037"/>
        <xdr:cNvSpPr>
          <a:spLocks/>
        </xdr:cNvSpPr>
      </xdr:nvSpPr>
      <xdr:spPr bwMode="auto">
        <a:xfrm>
          <a:off x="971550" y="5981700"/>
          <a:ext cx="5238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0</xdr:col>
      <xdr:colOff>171450</xdr:colOff>
      <xdr:row>26</xdr:row>
      <xdr:rowOff>38100</xdr:rowOff>
    </xdr:from>
    <xdr:to>
      <xdr:col>2</xdr:col>
      <xdr:colOff>0</xdr:colOff>
      <xdr:row>30</xdr:row>
      <xdr:rowOff>76200</xdr:rowOff>
    </xdr:to>
    <xdr:sp macro="" textlink="">
      <xdr:nvSpPr>
        <xdr:cNvPr id="3579301" name="Freeform 1038"/>
        <xdr:cNvSpPr>
          <a:spLocks/>
        </xdr:cNvSpPr>
      </xdr:nvSpPr>
      <xdr:spPr bwMode="auto">
        <a:xfrm>
          <a:off x="171450" y="6105525"/>
          <a:ext cx="390525" cy="108585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1</xdr:col>
      <xdr:colOff>28575</xdr:colOff>
      <xdr:row>30</xdr:row>
      <xdr:rowOff>38100</xdr:rowOff>
    </xdr:from>
    <xdr:to>
      <xdr:col>1</xdr:col>
      <xdr:colOff>171450</xdr:colOff>
      <xdr:row>31</xdr:row>
      <xdr:rowOff>57150</xdr:rowOff>
    </xdr:to>
    <xdr:sp macro="" textlink="">
      <xdr:nvSpPr>
        <xdr:cNvPr id="3579302" name="Freeform 1039"/>
        <xdr:cNvSpPr>
          <a:spLocks/>
        </xdr:cNvSpPr>
      </xdr:nvSpPr>
      <xdr:spPr bwMode="auto">
        <a:xfrm>
          <a:off x="323850" y="7153275"/>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2</xdr:col>
      <xdr:colOff>609600</xdr:colOff>
      <xdr:row>26</xdr:row>
      <xdr:rowOff>66675</xdr:rowOff>
    </xdr:from>
    <xdr:to>
      <xdr:col>4</xdr:col>
      <xdr:colOff>95250</xdr:colOff>
      <xdr:row>30</xdr:row>
      <xdr:rowOff>28575</xdr:rowOff>
    </xdr:to>
    <xdr:sp macro="" textlink="">
      <xdr:nvSpPr>
        <xdr:cNvPr id="3579303" name="Freeform 1040"/>
        <xdr:cNvSpPr>
          <a:spLocks/>
        </xdr:cNvSpPr>
      </xdr:nvSpPr>
      <xdr:spPr bwMode="auto">
        <a:xfrm>
          <a:off x="1171575" y="6134100"/>
          <a:ext cx="400050" cy="100965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00FF00"/>
        </a:solidFill>
        <a:ln w="9525">
          <a:solidFill>
            <a:srgbClr val="000000"/>
          </a:solidFill>
          <a:round/>
          <a:headEnd/>
          <a:tailEnd/>
        </a:ln>
      </xdr:spPr>
    </xdr:sp>
    <xdr:clientData/>
  </xdr:twoCellAnchor>
  <xdr:twoCellAnchor>
    <xdr:from>
      <xdr:col>1</xdr:col>
      <xdr:colOff>200025</xdr:colOff>
      <xdr:row>23</xdr:row>
      <xdr:rowOff>95250</xdr:rowOff>
    </xdr:from>
    <xdr:to>
      <xdr:col>3</xdr:col>
      <xdr:colOff>9525</xdr:colOff>
      <xdr:row>25</xdr:row>
      <xdr:rowOff>209550</xdr:rowOff>
    </xdr:to>
    <xdr:sp macro="" textlink="">
      <xdr:nvSpPr>
        <xdr:cNvPr id="3579304" name="Freeform 1043"/>
        <xdr:cNvSpPr>
          <a:spLocks/>
        </xdr:cNvSpPr>
      </xdr:nvSpPr>
      <xdr:spPr bwMode="auto">
        <a:xfrm>
          <a:off x="495300" y="5419725"/>
          <a:ext cx="7239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2</xdr:col>
      <xdr:colOff>200025</xdr:colOff>
      <xdr:row>24</xdr:row>
      <xdr:rowOff>104775</xdr:rowOff>
    </xdr:from>
    <xdr:to>
      <xdr:col>2</xdr:col>
      <xdr:colOff>266700</xdr:colOff>
      <xdr:row>24</xdr:row>
      <xdr:rowOff>228600</xdr:rowOff>
    </xdr:to>
    <xdr:sp macro="" textlink="">
      <xdr:nvSpPr>
        <xdr:cNvPr id="3579305" name="Freeform 1044"/>
        <xdr:cNvSpPr>
          <a:spLocks/>
        </xdr:cNvSpPr>
      </xdr:nvSpPr>
      <xdr:spPr bwMode="auto">
        <a:xfrm>
          <a:off x="762000" y="5676900"/>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352425</xdr:colOff>
      <xdr:row>24</xdr:row>
      <xdr:rowOff>104775</xdr:rowOff>
    </xdr:from>
    <xdr:to>
      <xdr:col>2</xdr:col>
      <xdr:colOff>419100</xdr:colOff>
      <xdr:row>24</xdr:row>
      <xdr:rowOff>228600</xdr:rowOff>
    </xdr:to>
    <xdr:sp macro="" textlink="">
      <xdr:nvSpPr>
        <xdr:cNvPr id="3579306" name="Freeform 1045"/>
        <xdr:cNvSpPr>
          <a:spLocks/>
        </xdr:cNvSpPr>
      </xdr:nvSpPr>
      <xdr:spPr bwMode="auto">
        <a:xfrm>
          <a:off x="914400" y="5676900"/>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171450</xdr:colOff>
      <xdr:row>24</xdr:row>
      <xdr:rowOff>76200</xdr:rowOff>
    </xdr:from>
    <xdr:to>
      <xdr:col>2</xdr:col>
      <xdr:colOff>266700</xdr:colOff>
      <xdr:row>24</xdr:row>
      <xdr:rowOff>114300</xdr:rowOff>
    </xdr:to>
    <xdr:sp macro="" textlink="">
      <xdr:nvSpPr>
        <xdr:cNvPr id="3579307" name="Freeform 1046"/>
        <xdr:cNvSpPr>
          <a:spLocks/>
        </xdr:cNvSpPr>
      </xdr:nvSpPr>
      <xdr:spPr bwMode="auto">
        <a:xfrm>
          <a:off x="733425" y="5648325"/>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2</xdr:col>
      <xdr:colOff>352425</xdr:colOff>
      <xdr:row>24</xdr:row>
      <xdr:rowOff>76200</xdr:rowOff>
    </xdr:from>
    <xdr:to>
      <xdr:col>2</xdr:col>
      <xdr:colOff>438150</xdr:colOff>
      <xdr:row>24</xdr:row>
      <xdr:rowOff>85725</xdr:rowOff>
    </xdr:to>
    <xdr:sp macro="" textlink="">
      <xdr:nvSpPr>
        <xdr:cNvPr id="3579308" name="Freeform 1047"/>
        <xdr:cNvSpPr>
          <a:spLocks/>
        </xdr:cNvSpPr>
      </xdr:nvSpPr>
      <xdr:spPr bwMode="auto">
        <a:xfrm>
          <a:off x="914400" y="5648325"/>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2</xdr:col>
      <xdr:colOff>247650</xdr:colOff>
      <xdr:row>25</xdr:row>
      <xdr:rowOff>66675</xdr:rowOff>
    </xdr:from>
    <xdr:to>
      <xdr:col>2</xdr:col>
      <xdr:colOff>409575</xdr:colOff>
      <xdr:row>25</xdr:row>
      <xdr:rowOff>114300</xdr:rowOff>
    </xdr:to>
    <xdr:sp macro="" textlink="">
      <xdr:nvSpPr>
        <xdr:cNvPr id="3579309" name="Freeform 1048"/>
        <xdr:cNvSpPr>
          <a:spLocks/>
        </xdr:cNvSpPr>
      </xdr:nvSpPr>
      <xdr:spPr bwMode="auto">
        <a:xfrm>
          <a:off x="809625" y="5886450"/>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2</xdr:col>
      <xdr:colOff>295275</xdr:colOff>
      <xdr:row>24</xdr:row>
      <xdr:rowOff>200025</xdr:rowOff>
    </xdr:from>
    <xdr:to>
      <xdr:col>2</xdr:col>
      <xdr:colOff>323850</xdr:colOff>
      <xdr:row>25</xdr:row>
      <xdr:rowOff>104775</xdr:rowOff>
    </xdr:to>
    <xdr:sp macro="" textlink="">
      <xdr:nvSpPr>
        <xdr:cNvPr id="3579310" name="Freeform 1050"/>
        <xdr:cNvSpPr>
          <a:spLocks/>
        </xdr:cNvSpPr>
      </xdr:nvSpPr>
      <xdr:spPr bwMode="auto">
        <a:xfrm>
          <a:off x="857250" y="5772150"/>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3</xdr:col>
      <xdr:colOff>95250</xdr:colOff>
      <xdr:row>29</xdr:row>
      <xdr:rowOff>352425</xdr:rowOff>
    </xdr:from>
    <xdr:to>
      <xdr:col>4</xdr:col>
      <xdr:colOff>114300</xdr:colOff>
      <xdr:row>31</xdr:row>
      <xdr:rowOff>19050</xdr:rowOff>
    </xdr:to>
    <xdr:sp macro="" textlink="">
      <xdr:nvSpPr>
        <xdr:cNvPr id="3579311" name="Freeform 1051"/>
        <xdr:cNvSpPr>
          <a:spLocks/>
        </xdr:cNvSpPr>
      </xdr:nvSpPr>
      <xdr:spPr bwMode="auto">
        <a:xfrm>
          <a:off x="1304925" y="7105650"/>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2</xdr:col>
      <xdr:colOff>209550</xdr:colOff>
      <xdr:row>24</xdr:row>
      <xdr:rowOff>123825</xdr:rowOff>
    </xdr:from>
    <xdr:to>
      <xdr:col>2</xdr:col>
      <xdr:colOff>304800</xdr:colOff>
      <xdr:row>24</xdr:row>
      <xdr:rowOff>200025</xdr:rowOff>
    </xdr:to>
    <xdr:sp macro="" textlink="">
      <xdr:nvSpPr>
        <xdr:cNvPr id="3579312" name="Freeform 1052"/>
        <xdr:cNvSpPr>
          <a:spLocks/>
        </xdr:cNvSpPr>
      </xdr:nvSpPr>
      <xdr:spPr bwMode="auto">
        <a:xfrm>
          <a:off x="771525" y="56959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2</xdr:col>
      <xdr:colOff>361950</xdr:colOff>
      <xdr:row>24</xdr:row>
      <xdr:rowOff>133350</xdr:rowOff>
    </xdr:from>
    <xdr:to>
      <xdr:col>2</xdr:col>
      <xdr:colOff>457200</xdr:colOff>
      <xdr:row>24</xdr:row>
      <xdr:rowOff>209550</xdr:rowOff>
    </xdr:to>
    <xdr:sp macro="" textlink="">
      <xdr:nvSpPr>
        <xdr:cNvPr id="3579313" name="Freeform 1053"/>
        <xdr:cNvSpPr>
          <a:spLocks/>
        </xdr:cNvSpPr>
      </xdr:nvSpPr>
      <xdr:spPr bwMode="auto">
        <a:xfrm>
          <a:off x="923925" y="570547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xdr:col>
      <xdr:colOff>209550</xdr:colOff>
      <xdr:row>30</xdr:row>
      <xdr:rowOff>114300</xdr:rowOff>
    </xdr:from>
    <xdr:to>
      <xdr:col>4</xdr:col>
      <xdr:colOff>9525</xdr:colOff>
      <xdr:row>35</xdr:row>
      <xdr:rowOff>209550</xdr:rowOff>
    </xdr:to>
    <xdr:sp macro="" textlink="">
      <xdr:nvSpPr>
        <xdr:cNvPr id="3579314" name="Freeform 1054"/>
        <xdr:cNvSpPr>
          <a:spLocks/>
        </xdr:cNvSpPr>
      </xdr:nvSpPr>
      <xdr:spPr bwMode="auto">
        <a:xfrm>
          <a:off x="504825" y="7229475"/>
          <a:ext cx="9810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2</xdr:col>
      <xdr:colOff>47625</xdr:colOff>
      <xdr:row>31</xdr:row>
      <xdr:rowOff>28575</xdr:rowOff>
    </xdr:from>
    <xdr:to>
      <xdr:col>2</xdr:col>
      <xdr:colOff>238125</xdr:colOff>
      <xdr:row>32</xdr:row>
      <xdr:rowOff>0</xdr:rowOff>
    </xdr:to>
    <xdr:sp macro="" textlink="">
      <xdr:nvSpPr>
        <xdr:cNvPr id="3579315" name="Freeform 1056"/>
        <xdr:cNvSpPr>
          <a:spLocks/>
        </xdr:cNvSpPr>
      </xdr:nvSpPr>
      <xdr:spPr bwMode="auto">
        <a:xfrm>
          <a:off x="609600" y="72961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2</xdr:col>
      <xdr:colOff>419100</xdr:colOff>
      <xdr:row>31</xdr:row>
      <xdr:rowOff>19050</xdr:rowOff>
    </xdr:from>
    <xdr:to>
      <xdr:col>2</xdr:col>
      <xdr:colOff>609600</xdr:colOff>
      <xdr:row>31</xdr:row>
      <xdr:rowOff>238125</xdr:rowOff>
    </xdr:to>
    <xdr:sp macro="" textlink="">
      <xdr:nvSpPr>
        <xdr:cNvPr id="3579316" name="Freeform 1057"/>
        <xdr:cNvSpPr>
          <a:spLocks/>
        </xdr:cNvSpPr>
      </xdr:nvSpPr>
      <xdr:spPr bwMode="auto">
        <a:xfrm>
          <a:off x="981075" y="728662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0</xdr:col>
      <xdr:colOff>352425</xdr:colOff>
      <xdr:row>35</xdr:row>
      <xdr:rowOff>123825</xdr:rowOff>
    </xdr:from>
    <xdr:to>
      <xdr:col>2</xdr:col>
      <xdr:colOff>285750</xdr:colOff>
      <xdr:row>37</xdr:row>
      <xdr:rowOff>238125</xdr:rowOff>
    </xdr:to>
    <xdr:sp macro="" textlink="">
      <xdr:nvSpPr>
        <xdr:cNvPr id="3579317" name="Freeform 1058"/>
        <xdr:cNvSpPr>
          <a:spLocks/>
        </xdr:cNvSpPr>
      </xdr:nvSpPr>
      <xdr:spPr bwMode="auto">
        <a:xfrm>
          <a:off x="295275" y="8382000"/>
          <a:ext cx="552450"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FF0000"/>
        </a:solidFill>
        <a:ln w="9525">
          <a:solidFill>
            <a:srgbClr val="000000"/>
          </a:solidFill>
          <a:round/>
          <a:headEnd/>
          <a:tailEnd/>
        </a:ln>
      </xdr:spPr>
    </xdr:sp>
    <xdr:clientData/>
  </xdr:twoCellAnchor>
  <xdr:twoCellAnchor>
    <xdr:from>
      <xdr:col>2</xdr:col>
      <xdr:colOff>590550</xdr:colOff>
      <xdr:row>35</xdr:row>
      <xdr:rowOff>171450</xdr:rowOff>
    </xdr:from>
    <xdr:to>
      <xdr:col>4</xdr:col>
      <xdr:colOff>371475</xdr:colOff>
      <xdr:row>37</xdr:row>
      <xdr:rowOff>209550</xdr:rowOff>
    </xdr:to>
    <xdr:sp macro="" textlink="">
      <xdr:nvSpPr>
        <xdr:cNvPr id="3579318" name="Freeform 1059"/>
        <xdr:cNvSpPr>
          <a:spLocks/>
        </xdr:cNvSpPr>
      </xdr:nvSpPr>
      <xdr:spPr bwMode="auto">
        <a:xfrm>
          <a:off x="1152525" y="8429625"/>
          <a:ext cx="695325"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FF0000"/>
        </a:solidFill>
        <a:ln w="9525">
          <a:solidFill>
            <a:srgbClr val="000000"/>
          </a:solidFill>
          <a:round/>
          <a:headEnd/>
          <a:tailEnd/>
        </a:ln>
      </xdr:spPr>
    </xdr:sp>
    <xdr:clientData/>
  </xdr:twoCellAnchor>
  <xdr:twoCellAnchor>
    <xdr:from>
      <xdr:col>2</xdr:col>
      <xdr:colOff>114300</xdr:colOff>
      <xdr:row>33</xdr:row>
      <xdr:rowOff>95250</xdr:rowOff>
    </xdr:from>
    <xdr:to>
      <xdr:col>2</xdr:col>
      <xdr:colOff>266700</xdr:colOff>
      <xdr:row>34</xdr:row>
      <xdr:rowOff>104775</xdr:rowOff>
    </xdr:to>
    <xdr:sp macro="" textlink="">
      <xdr:nvSpPr>
        <xdr:cNvPr id="3579319" name="Oval 1060"/>
        <xdr:cNvSpPr>
          <a:spLocks noChangeArrowheads="1"/>
        </xdr:cNvSpPr>
      </xdr:nvSpPr>
      <xdr:spPr bwMode="auto">
        <a:xfrm>
          <a:off x="676275" y="7858125"/>
          <a:ext cx="152400" cy="257175"/>
        </a:xfrm>
        <a:prstGeom prst="ellipse">
          <a:avLst/>
        </a:prstGeom>
        <a:solidFill>
          <a:srgbClr val="FFCC00"/>
        </a:solidFill>
        <a:ln w="9525">
          <a:solidFill>
            <a:srgbClr val="000000"/>
          </a:solidFill>
          <a:round/>
          <a:headEnd/>
          <a:tailEnd/>
        </a:ln>
      </xdr:spPr>
    </xdr:sp>
    <xdr:clientData/>
  </xdr:twoCellAnchor>
  <xdr:twoCellAnchor>
    <xdr:from>
      <xdr:col>2</xdr:col>
      <xdr:colOff>561975</xdr:colOff>
      <xdr:row>33</xdr:row>
      <xdr:rowOff>85725</xdr:rowOff>
    </xdr:from>
    <xdr:to>
      <xdr:col>3</xdr:col>
      <xdr:colOff>66675</xdr:colOff>
      <xdr:row>34</xdr:row>
      <xdr:rowOff>95250</xdr:rowOff>
    </xdr:to>
    <xdr:sp macro="" textlink="">
      <xdr:nvSpPr>
        <xdr:cNvPr id="3579320" name="Oval 1061"/>
        <xdr:cNvSpPr>
          <a:spLocks noChangeArrowheads="1"/>
        </xdr:cNvSpPr>
      </xdr:nvSpPr>
      <xdr:spPr bwMode="auto">
        <a:xfrm>
          <a:off x="1123950" y="7848600"/>
          <a:ext cx="152400" cy="257175"/>
        </a:xfrm>
        <a:prstGeom prst="ellipse">
          <a:avLst/>
        </a:prstGeom>
        <a:solidFill>
          <a:srgbClr val="FFCC00"/>
        </a:solidFill>
        <a:ln w="9525">
          <a:solidFill>
            <a:srgbClr val="000000"/>
          </a:solidFill>
          <a:round/>
          <a:headEnd/>
          <a:tailEnd/>
        </a:ln>
      </xdr:spPr>
    </xdr:sp>
    <xdr:clientData/>
  </xdr:twoCellAnchor>
  <xdr:twoCellAnchor>
    <xdr:from>
      <xdr:col>4</xdr:col>
      <xdr:colOff>200025</xdr:colOff>
      <xdr:row>23</xdr:row>
      <xdr:rowOff>114300</xdr:rowOff>
    </xdr:from>
    <xdr:to>
      <xdr:col>5</xdr:col>
      <xdr:colOff>304800</xdr:colOff>
      <xdr:row>30</xdr:row>
      <xdr:rowOff>142875</xdr:rowOff>
    </xdr:to>
    <xdr:sp macro="" textlink="">
      <xdr:nvSpPr>
        <xdr:cNvPr id="3579321" name="Freeform 1062"/>
        <xdr:cNvSpPr>
          <a:spLocks/>
        </xdr:cNvSpPr>
      </xdr:nvSpPr>
      <xdr:spPr bwMode="auto">
        <a:xfrm>
          <a:off x="1676400" y="5438775"/>
          <a:ext cx="7905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4</xdr:col>
      <xdr:colOff>352425</xdr:colOff>
      <xdr:row>24</xdr:row>
      <xdr:rowOff>19050</xdr:rowOff>
    </xdr:from>
    <xdr:to>
      <xdr:col>5</xdr:col>
      <xdr:colOff>457200</xdr:colOff>
      <xdr:row>31</xdr:row>
      <xdr:rowOff>142875</xdr:rowOff>
    </xdr:to>
    <xdr:sp macro="" textlink="">
      <xdr:nvSpPr>
        <xdr:cNvPr id="3579322" name="Freeform 1063"/>
        <xdr:cNvSpPr>
          <a:spLocks/>
        </xdr:cNvSpPr>
      </xdr:nvSpPr>
      <xdr:spPr bwMode="auto">
        <a:xfrm>
          <a:off x="1828800" y="5591175"/>
          <a:ext cx="7143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7</xdr:col>
      <xdr:colOff>95250</xdr:colOff>
      <xdr:row>23</xdr:row>
      <xdr:rowOff>200025</xdr:rowOff>
    </xdr:from>
    <xdr:to>
      <xdr:col>7</xdr:col>
      <xdr:colOff>523875</xdr:colOff>
      <xdr:row>25</xdr:row>
      <xdr:rowOff>171450</xdr:rowOff>
    </xdr:to>
    <xdr:sp macro="" textlink="">
      <xdr:nvSpPr>
        <xdr:cNvPr id="3579323" name="Oval 1064"/>
        <xdr:cNvSpPr>
          <a:spLocks noChangeArrowheads="1"/>
        </xdr:cNvSpPr>
      </xdr:nvSpPr>
      <xdr:spPr bwMode="auto">
        <a:xfrm>
          <a:off x="2905125" y="5524500"/>
          <a:ext cx="428625" cy="466725"/>
        </a:xfrm>
        <a:prstGeom prst="ellipse">
          <a:avLst/>
        </a:prstGeom>
        <a:solidFill>
          <a:srgbClr val="FFFF00"/>
        </a:solidFill>
        <a:ln w="9525">
          <a:solidFill>
            <a:srgbClr val="000000"/>
          </a:solidFill>
          <a:round/>
          <a:headEnd/>
          <a:tailEnd/>
        </a:ln>
      </xdr:spPr>
    </xdr:sp>
    <xdr:clientData/>
  </xdr:twoCellAnchor>
  <xdr:twoCellAnchor>
    <xdr:from>
      <xdr:col>7</xdr:col>
      <xdr:colOff>238125</xdr:colOff>
      <xdr:row>25</xdr:row>
      <xdr:rowOff>171450</xdr:rowOff>
    </xdr:from>
    <xdr:to>
      <xdr:col>7</xdr:col>
      <xdr:colOff>419100</xdr:colOff>
      <xdr:row>27</xdr:row>
      <xdr:rowOff>0</xdr:rowOff>
    </xdr:to>
    <xdr:sp macro="" textlink="">
      <xdr:nvSpPr>
        <xdr:cNvPr id="3579324" name="Text Box 1066"/>
        <xdr:cNvSpPr txBox="1">
          <a:spLocks noChangeArrowheads="1"/>
        </xdr:cNvSpPr>
      </xdr:nvSpPr>
      <xdr:spPr bwMode="auto">
        <a:xfrm>
          <a:off x="3048000" y="5991225"/>
          <a:ext cx="180975" cy="152400"/>
        </a:xfrm>
        <a:prstGeom prst="rect">
          <a:avLst/>
        </a:prstGeom>
        <a:solidFill>
          <a:srgbClr val="FFFF00"/>
        </a:solidFill>
        <a:ln w="9525">
          <a:noFill/>
          <a:miter lim="800000"/>
          <a:headEnd/>
          <a:tailEnd/>
        </a:ln>
      </xdr:spPr>
    </xdr:sp>
    <xdr:clientData/>
  </xdr:twoCellAnchor>
  <xdr:twoCellAnchor>
    <xdr:from>
      <xdr:col>5</xdr:col>
      <xdr:colOff>371475</xdr:colOff>
      <xdr:row>25</xdr:row>
      <xdr:rowOff>142875</xdr:rowOff>
    </xdr:from>
    <xdr:to>
      <xdr:col>7</xdr:col>
      <xdr:colOff>276225</xdr:colOff>
      <xdr:row>27</xdr:row>
      <xdr:rowOff>47625</xdr:rowOff>
    </xdr:to>
    <xdr:sp macro="" textlink="">
      <xdr:nvSpPr>
        <xdr:cNvPr id="3579325" name="Freeform 1067"/>
        <xdr:cNvSpPr>
          <a:spLocks/>
        </xdr:cNvSpPr>
      </xdr:nvSpPr>
      <xdr:spPr bwMode="auto">
        <a:xfrm>
          <a:off x="2533650" y="5962650"/>
          <a:ext cx="552450"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7</xdr:col>
      <xdr:colOff>409575</xdr:colOff>
      <xdr:row>25</xdr:row>
      <xdr:rowOff>161925</xdr:rowOff>
    </xdr:from>
    <xdr:to>
      <xdr:col>9</xdr:col>
      <xdr:colOff>19050</xdr:colOff>
      <xdr:row>27</xdr:row>
      <xdr:rowOff>9525</xdr:rowOff>
    </xdr:to>
    <xdr:sp macro="" textlink="">
      <xdr:nvSpPr>
        <xdr:cNvPr id="3579326" name="Freeform 1068"/>
        <xdr:cNvSpPr>
          <a:spLocks/>
        </xdr:cNvSpPr>
      </xdr:nvSpPr>
      <xdr:spPr bwMode="auto">
        <a:xfrm>
          <a:off x="3219450" y="5981700"/>
          <a:ext cx="5238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5</xdr:col>
      <xdr:colOff>171450</xdr:colOff>
      <xdr:row>26</xdr:row>
      <xdr:rowOff>38100</xdr:rowOff>
    </xdr:from>
    <xdr:to>
      <xdr:col>7</xdr:col>
      <xdr:colOff>0</xdr:colOff>
      <xdr:row>30</xdr:row>
      <xdr:rowOff>76200</xdr:rowOff>
    </xdr:to>
    <xdr:sp macro="" textlink="">
      <xdr:nvSpPr>
        <xdr:cNvPr id="3579327" name="Freeform 1069"/>
        <xdr:cNvSpPr>
          <a:spLocks/>
        </xdr:cNvSpPr>
      </xdr:nvSpPr>
      <xdr:spPr bwMode="auto">
        <a:xfrm>
          <a:off x="2333625" y="6105525"/>
          <a:ext cx="476250" cy="108585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6</xdr:col>
      <xdr:colOff>28575</xdr:colOff>
      <xdr:row>30</xdr:row>
      <xdr:rowOff>38100</xdr:rowOff>
    </xdr:from>
    <xdr:to>
      <xdr:col>6</xdr:col>
      <xdr:colOff>171450</xdr:colOff>
      <xdr:row>31</xdr:row>
      <xdr:rowOff>57150</xdr:rowOff>
    </xdr:to>
    <xdr:sp macro="" textlink="">
      <xdr:nvSpPr>
        <xdr:cNvPr id="3579328" name="Freeform 1070"/>
        <xdr:cNvSpPr>
          <a:spLocks/>
        </xdr:cNvSpPr>
      </xdr:nvSpPr>
      <xdr:spPr bwMode="auto">
        <a:xfrm>
          <a:off x="2571750" y="7153275"/>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6</xdr:col>
      <xdr:colOff>200025</xdr:colOff>
      <xdr:row>23</xdr:row>
      <xdr:rowOff>95250</xdr:rowOff>
    </xdr:from>
    <xdr:to>
      <xdr:col>8</xdr:col>
      <xdr:colOff>9525</xdr:colOff>
      <xdr:row>25</xdr:row>
      <xdr:rowOff>209550</xdr:rowOff>
    </xdr:to>
    <xdr:sp macro="" textlink="">
      <xdr:nvSpPr>
        <xdr:cNvPr id="3579329" name="Freeform 1072"/>
        <xdr:cNvSpPr>
          <a:spLocks/>
        </xdr:cNvSpPr>
      </xdr:nvSpPr>
      <xdr:spPr bwMode="auto">
        <a:xfrm>
          <a:off x="2743200" y="5419725"/>
          <a:ext cx="7239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7</xdr:col>
      <xdr:colOff>200025</xdr:colOff>
      <xdr:row>24</xdr:row>
      <xdr:rowOff>104775</xdr:rowOff>
    </xdr:from>
    <xdr:to>
      <xdr:col>7</xdr:col>
      <xdr:colOff>266700</xdr:colOff>
      <xdr:row>24</xdr:row>
      <xdr:rowOff>228600</xdr:rowOff>
    </xdr:to>
    <xdr:sp macro="" textlink="">
      <xdr:nvSpPr>
        <xdr:cNvPr id="3579330" name="Freeform 1073"/>
        <xdr:cNvSpPr>
          <a:spLocks/>
        </xdr:cNvSpPr>
      </xdr:nvSpPr>
      <xdr:spPr bwMode="auto">
        <a:xfrm>
          <a:off x="3009900" y="5676900"/>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352425</xdr:colOff>
      <xdr:row>24</xdr:row>
      <xdr:rowOff>104775</xdr:rowOff>
    </xdr:from>
    <xdr:to>
      <xdr:col>7</xdr:col>
      <xdr:colOff>419100</xdr:colOff>
      <xdr:row>24</xdr:row>
      <xdr:rowOff>228600</xdr:rowOff>
    </xdr:to>
    <xdr:sp macro="" textlink="">
      <xdr:nvSpPr>
        <xdr:cNvPr id="3579331" name="Freeform 1074"/>
        <xdr:cNvSpPr>
          <a:spLocks/>
        </xdr:cNvSpPr>
      </xdr:nvSpPr>
      <xdr:spPr bwMode="auto">
        <a:xfrm>
          <a:off x="3162300" y="5676900"/>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171450</xdr:colOff>
      <xdr:row>24</xdr:row>
      <xdr:rowOff>76200</xdr:rowOff>
    </xdr:from>
    <xdr:to>
      <xdr:col>7</xdr:col>
      <xdr:colOff>266700</xdr:colOff>
      <xdr:row>24</xdr:row>
      <xdr:rowOff>114300</xdr:rowOff>
    </xdr:to>
    <xdr:sp macro="" textlink="">
      <xdr:nvSpPr>
        <xdr:cNvPr id="3579332" name="Freeform 1075"/>
        <xdr:cNvSpPr>
          <a:spLocks/>
        </xdr:cNvSpPr>
      </xdr:nvSpPr>
      <xdr:spPr bwMode="auto">
        <a:xfrm>
          <a:off x="2981325" y="5648325"/>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7</xdr:col>
      <xdr:colOff>352425</xdr:colOff>
      <xdr:row>24</xdr:row>
      <xdr:rowOff>76200</xdr:rowOff>
    </xdr:from>
    <xdr:to>
      <xdr:col>7</xdr:col>
      <xdr:colOff>438150</xdr:colOff>
      <xdr:row>24</xdr:row>
      <xdr:rowOff>85725</xdr:rowOff>
    </xdr:to>
    <xdr:sp macro="" textlink="">
      <xdr:nvSpPr>
        <xdr:cNvPr id="3579333" name="Freeform 1076"/>
        <xdr:cNvSpPr>
          <a:spLocks/>
        </xdr:cNvSpPr>
      </xdr:nvSpPr>
      <xdr:spPr bwMode="auto">
        <a:xfrm>
          <a:off x="3162300" y="5648325"/>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7</xdr:col>
      <xdr:colOff>247650</xdr:colOff>
      <xdr:row>25</xdr:row>
      <xdr:rowOff>66675</xdr:rowOff>
    </xdr:from>
    <xdr:to>
      <xdr:col>7</xdr:col>
      <xdr:colOff>409575</xdr:colOff>
      <xdr:row>25</xdr:row>
      <xdr:rowOff>114300</xdr:rowOff>
    </xdr:to>
    <xdr:sp macro="" textlink="">
      <xdr:nvSpPr>
        <xdr:cNvPr id="3579334" name="Freeform 1077"/>
        <xdr:cNvSpPr>
          <a:spLocks/>
        </xdr:cNvSpPr>
      </xdr:nvSpPr>
      <xdr:spPr bwMode="auto">
        <a:xfrm>
          <a:off x="3057525" y="5886450"/>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7</xdr:col>
      <xdr:colOff>295275</xdr:colOff>
      <xdr:row>24</xdr:row>
      <xdr:rowOff>200025</xdr:rowOff>
    </xdr:from>
    <xdr:to>
      <xdr:col>7</xdr:col>
      <xdr:colOff>323850</xdr:colOff>
      <xdr:row>25</xdr:row>
      <xdr:rowOff>104775</xdr:rowOff>
    </xdr:to>
    <xdr:sp macro="" textlink="">
      <xdr:nvSpPr>
        <xdr:cNvPr id="3579335" name="Freeform 1078"/>
        <xdr:cNvSpPr>
          <a:spLocks/>
        </xdr:cNvSpPr>
      </xdr:nvSpPr>
      <xdr:spPr bwMode="auto">
        <a:xfrm>
          <a:off x="3105150" y="5772150"/>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8</xdr:col>
      <xdr:colOff>95250</xdr:colOff>
      <xdr:row>29</xdr:row>
      <xdr:rowOff>352425</xdr:rowOff>
    </xdr:from>
    <xdr:to>
      <xdr:col>9</xdr:col>
      <xdr:colOff>114300</xdr:colOff>
      <xdr:row>31</xdr:row>
      <xdr:rowOff>19050</xdr:rowOff>
    </xdr:to>
    <xdr:sp macro="" textlink="">
      <xdr:nvSpPr>
        <xdr:cNvPr id="3579336" name="Freeform 1079"/>
        <xdr:cNvSpPr>
          <a:spLocks/>
        </xdr:cNvSpPr>
      </xdr:nvSpPr>
      <xdr:spPr bwMode="auto">
        <a:xfrm>
          <a:off x="3552825" y="7105650"/>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7</xdr:col>
      <xdr:colOff>209550</xdr:colOff>
      <xdr:row>24</xdr:row>
      <xdr:rowOff>123825</xdr:rowOff>
    </xdr:from>
    <xdr:to>
      <xdr:col>7</xdr:col>
      <xdr:colOff>304800</xdr:colOff>
      <xdr:row>24</xdr:row>
      <xdr:rowOff>200025</xdr:rowOff>
    </xdr:to>
    <xdr:sp macro="" textlink="">
      <xdr:nvSpPr>
        <xdr:cNvPr id="3579337" name="Freeform 1080"/>
        <xdr:cNvSpPr>
          <a:spLocks/>
        </xdr:cNvSpPr>
      </xdr:nvSpPr>
      <xdr:spPr bwMode="auto">
        <a:xfrm>
          <a:off x="3019425" y="56959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7</xdr:col>
      <xdr:colOff>361950</xdr:colOff>
      <xdr:row>24</xdr:row>
      <xdr:rowOff>133350</xdr:rowOff>
    </xdr:from>
    <xdr:to>
      <xdr:col>7</xdr:col>
      <xdr:colOff>457200</xdr:colOff>
      <xdr:row>24</xdr:row>
      <xdr:rowOff>209550</xdr:rowOff>
    </xdr:to>
    <xdr:sp macro="" textlink="">
      <xdr:nvSpPr>
        <xdr:cNvPr id="3579338" name="Freeform 1081"/>
        <xdr:cNvSpPr>
          <a:spLocks/>
        </xdr:cNvSpPr>
      </xdr:nvSpPr>
      <xdr:spPr bwMode="auto">
        <a:xfrm>
          <a:off x="3171825" y="570547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6</xdr:col>
      <xdr:colOff>209550</xdr:colOff>
      <xdr:row>30</xdr:row>
      <xdr:rowOff>114300</xdr:rowOff>
    </xdr:from>
    <xdr:to>
      <xdr:col>9</xdr:col>
      <xdr:colOff>9525</xdr:colOff>
      <xdr:row>35</xdr:row>
      <xdr:rowOff>209550</xdr:rowOff>
    </xdr:to>
    <xdr:sp macro="" textlink="">
      <xdr:nvSpPr>
        <xdr:cNvPr id="3579339" name="Freeform 1082"/>
        <xdr:cNvSpPr>
          <a:spLocks/>
        </xdr:cNvSpPr>
      </xdr:nvSpPr>
      <xdr:spPr bwMode="auto">
        <a:xfrm>
          <a:off x="2752725" y="7229475"/>
          <a:ext cx="9810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7</xdr:col>
      <xdr:colOff>47625</xdr:colOff>
      <xdr:row>31</xdr:row>
      <xdr:rowOff>28575</xdr:rowOff>
    </xdr:from>
    <xdr:to>
      <xdr:col>7</xdr:col>
      <xdr:colOff>238125</xdr:colOff>
      <xdr:row>32</xdr:row>
      <xdr:rowOff>0</xdr:rowOff>
    </xdr:to>
    <xdr:sp macro="" textlink="">
      <xdr:nvSpPr>
        <xdr:cNvPr id="3579340" name="Freeform 1083"/>
        <xdr:cNvSpPr>
          <a:spLocks/>
        </xdr:cNvSpPr>
      </xdr:nvSpPr>
      <xdr:spPr bwMode="auto">
        <a:xfrm>
          <a:off x="2857500" y="72961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7</xdr:col>
      <xdr:colOff>419100</xdr:colOff>
      <xdr:row>31</xdr:row>
      <xdr:rowOff>19050</xdr:rowOff>
    </xdr:from>
    <xdr:to>
      <xdr:col>7</xdr:col>
      <xdr:colOff>609600</xdr:colOff>
      <xdr:row>31</xdr:row>
      <xdr:rowOff>238125</xdr:rowOff>
    </xdr:to>
    <xdr:sp macro="" textlink="">
      <xdr:nvSpPr>
        <xdr:cNvPr id="3579341" name="Freeform 1084"/>
        <xdr:cNvSpPr>
          <a:spLocks/>
        </xdr:cNvSpPr>
      </xdr:nvSpPr>
      <xdr:spPr bwMode="auto">
        <a:xfrm>
          <a:off x="3228975" y="728662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5</xdr:col>
      <xdr:colOff>352425</xdr:colOff>
      <xdr:row>35</xdr:row>
      <xdr:rowOff>123825</xdr:rowOff>
    </xdr:from>
    <xdr:to>
      <xdr:col>7</xdr:col>
      <xdr:colOff>285750</xdr:colOff>
      <xdr:row>37</xdr:row>
      <xdr:rowOff>238125</xdr:rowOff>
    </xdr:to>
    <xdr:sp macro="" textlink="">
      <xdr:nvSpPr>
        <xdr:cNvPr id="3579342" name="Freeform 1085"/>
        <xdr:cNvSpPr>
          <a:spLocks/>
        </xdr:cNvSpPr>
      </xdr:nvSpPr>
      <xdr:spPr bwMode="auto">
        <a:xfrm>
          <a:off x="2514600" y="8382000"/>
          <a:ext cx="58102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800000"/>
        </a:solidFill>
        <a:ln w="9525">
          <a:solidFill>
            <a:srgbClr val="000000"/>
          </a:solidFill>
          <a:round/>
          <a:headEnd/>
          <a:tailEnd/>
        </a:ln>
      </xdr:spPr>
    </xdr:sp>
    <xdr:clientData/>
  </xdr:twoCellAnchor>
  <xdr:twoCellAnchor>
    <xdr:from>
      <xdr:col>7</xdr:col>
      <xdr:colOff>590550</xdr:colOff>
      <xdr:row>35</xdr:row>
      <xdr:rowOff>142875</xdr:rowOff>
    </xdr:from>
    <xdr:to>
      <xdr:col>9</xdr:col>
      <xdr:colOff>371475</xdr:colOff>
      <xdr:row>37</xdr:row>
      <xdr:rowOff>209550</xdr:rowOff>
    </xdr:to>
    <xdr:sp macro="" textlink="">
      <xdr:nvSpPr>
        <xdr:cNvPr id="3579343" name="Freeform 1086"/>
        <xdr:cNvSpPr>
          <a:spLocks/>
        </xdr:cNvSpPr>
      </xdr:nvSpPr>
      <xdr:spPr bwMode="auto">
        <a:xfrm>
          <a:off x="3400425" y="8401050"/>
          <a:ext cx="695325" cy="561975"/>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800000"/>
        </a:solidFill>
        <a:ln w="9525">
          <a:solidFill>
            <a:srgbClr val="000000"/>
          </a:solidFill>
          <a:round/>
          <a:headEnd/>
          <a:tailEnd/>
        </a:ln>
      </xdr:spPr>
    </xdr:sp>
    <xdr:clientData/>
  </xdr:twoCellAnchor>
  <xdr:twoCellAnchor>
    <xdr:from>
      <xdr:col>7</xdr:col>
      <xdr:colOff>114300</xdr:colOff>
      <xdr:row>33</xdr:row>
      <xdr:rowOff>95250</xdr:rowOff>
    </xdr:from>
    <xdr:to>
      <xdr:col>7</xdr:col>
      <xdr:colOff>266700</xdr:colOff>
      <xdr:row>34</xdr:row>
      <xdr:rowOff>104775</xdr:rowOff>
    </xdr:to>
    <xdr:sp macro="" textlink="">
      <xdr:nvSpPr>
        <xdr:cNvPr id="3579344" name="Oval 1087"/>
        <xdr:cNvSpPr>
          <a:spLocks noChangeArrowheads="1"/>
        </xdr:cNvSpPr>
      </xdr:nvSpPr>
      <xdr:spPr bwMode="auto">
        <a:xfrm>
          <a:off x="2924175" y="7858125"/>
          <a:ext cx="152400" cy="257175"/>
        </a:xfrm>
        <a:prstGeom prst="ellipse">
          <a:avLst/>
        </a:prstGeom>
        <a:solidFill>
          <a:srgbClr val="FFCC00"/>
        </a:solidFill>
        <a:ln w="9525">
          <a:solidFill>
            <a:srgbClr val="000000"/>
          </a:solidFill>
          <a:round/>
          <a:headEnd/>
          <a:tailEnd/>
        </a:ln>
      </xdr:spPr>
    </xdr:sp>
    <xdr:clientData/>
  </xdr:twoCellAnchor>
  <xdr:twoCellAnchor>
    <xdr:from>
      <xdr:col>7</xdr:col>
      <xdr:colOff>561975</xdr:colOff>
      <xdr:row>33</xdr:row>
      <xdr:rowOff>85725</xdr:rowOff>
    </xdr:from>
    <xdr:to>
      <xdr:col>8</xdr:col>
      <xdr:colOff>66675</xdr:colOff>
      <xdr:row>34</xdr:row>
      <xdr:rowOff>95250</xdr:rowOff>
    </xdr:to>
    <xdr:sp macro="" textlink="">
      <xdr:nvSpPr>
        <xdr:cNvPr id="3579345" name="Oval 1088"/>
        <xdr:cNvSpPr>
          <a:spLocks noChangeArrowheads="1"/>
        </xdr:cNvSpPr>
      </xdr:nvSpPr>
      <xdr:spPr bwMode="auto">
        <a:xfrm>
          <a:off x="3371850" y="7848600"/>
          <a:ext cx="152400" cy="257175"/>
        </a:xfrm>
        <a:prstGeom prst="ellipse">
          <a:avLst/>
        </a:prstGeom>
        <a:solidFill>
          <a:srgbClr val="FFCC00"/>
        </a:solidFill>
        <a:ln w="9525">
          <a:solidFill>
            <a:srgbClr val="000000"/>
          </a:solidFill>
          <a:round/>
          <a:headEnd/>
          <a:tailEnd/>
        </a:ln>
      </xdr:spPr>
    </xdr:sp>
    <xdr:clientData/>
  </xdr:twoCellAnchor>
  <xdr:twoCellAnchor>
    <xdr:from>
      <xdr:col>8</xdr:col>
      <xdr:colOff>228600</xdr:colOff>
      <xdr:row>23</xdr:row>
      <xdr:rowOff>114300</xdr:rowOff>
    </xdr:from>
    <xdr:to>
      <xdr:col>10</xdr:col>
      <xdr:colOff>28575</xdr:colOff>
      <xdr:row>30</xdr:row>
      <xdr:rowOff>142875</xdr:rowOff>
    </xdr:to>
    <xdr:sp macro="" textlink="">
      <xdr:nvSpPr>
        <xdr:cNvPr id="3579346" name="Freeform 1089"/>
        <xdr:cNvSpPr>
          <a:spLocks/>
        </xdr:cNvSpPr>
      </xdr:nvSpPr>
      <xdr:spPr bwMode="auto">
        <a:xfrm>
          <a:off x="3686175" y="5438775"/>
          <a:ext cx="46672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9</xdr:col>
      <xdr:colOff>28575</xdr:colOff>
      <xdr:row>29</xdr:row>
      <xdr:rowOff>180975</xdr:rowOff>
    </xdr:from>
    <xdr:to>
      <xdr:col>9</xdr:col>
      <xdr:colOff>342900</xdr:colOff>
      <xdr:row>37</xdr:row>
      <xdr:rowOff>0</xdr:rowOff>
    </xdr:to>
    <xdr:sp macro="" textlink="">
      <xdr:nvSpPr>
        <xdr:cNvPr id="3579347" name="Freeform 1090"/>
        <xdr:cNvSpPr>
          <a:spLocks/>
        </xdr:cNvSpPr>
      </xdr:nvSpPr>
      <xdr:spPr bwMode="auto">
        <a:xfrm>
          <a:off x="3752850" y="6934200"/>
          <a:ext cx="31432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3</xdr:col>
      <xdr:colOff>85725</xdr:colOff>
      <xdr:row>23</xdr:row>
      <xdr:rowOff>0</xdr:rowOff>
    </xdr:from>
    <xdr:to>
      <xdr:col>7</xdr:col>
      <xdr:colOff>19050</xdr:colOff>
      <xdr:row>29</xdr:row>
      <xdr:rowOff>142875</xdr:rowOff>
    </xdr:to>
    <xdr:sp macro="" textlink="">
      <xdr:nvSpPr>
        <xdr:cNvPr id="3579348" name="Freeform 1091"/>
        <xdr:cNvSpPr>
          <a:spLocks/>
        </xdr:cNvSpPr>
      </xdr:nvSpPr>
      <xdr:spPr bwMode="auto">
        <a:xfrm>
          <a:off x="1295400" y="5324475"/>
          <a:ext cx="153352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CC00"/>
        </a:solidFill>
        <a:ln w="9525">
          <a:solidFill>
            <a:srgbClr val="000000"/>
          </a:solidFill>
          <a:round/>
          <a:headEnd/>
          <a:tailEnd/>
        </a:ln>
      </xdr:spPr>
    </xdr:sp>
    <xdr:clientData/>
  </xdr:twoCellAnchor>
  <xdr:twoCellAnchor>
    <xdr:from>
      <xdr:col>2</xdr:col>
      <xdr:colOff>142875</xdr:colOff>
      <xdr:row>29</xdr:row>
      <xdr:rowOff>171450</xdr:rowOff>
    </xdr:from>
    <xdr:to>
      <xdr:col>5</xdr:col>
      <xdr:colOff>76200</xdr:colOff>
      <xdr:row>35</xdr:row>
      <xdr:rowOff>238125</xdr:rowOff>
    </xdr:to>
    <xdr:sp macro="" textlink="">
      <xdr:nvSpPr>
        <xdr:cNvPr id="3579349" name="Freeform 1092"/>
        <xdr:cNvSpPr>
          <a:spLocks/>
        </xdr:cNvSpPr>
      </xdr:nvSpPr>
      <xdr:spPr bwMode="auto">
        <a:xfrm>
          <a:off x="704850" y="6924675"/>
          <a:ext cx="153352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7</xdr:col>
      <xdr:colOff>38100</xdr:colOff>
      <xdr:row>21</xdr:row>
      <xdr:rowOff>219075</xdr:rowOff>
    </xdr:from>
    <xdr:to>
      <xdr:col>8</xdr:col>
      <xdr:colOff>28575</xdr:colOff>
      <xdr:row>24</xdr:row>
      <xdr:rowOff>9525</xdr:rowOff>
    </xdr:to>
    <xdr:sp macro="" textlink="">
      <xdr:nvSpPr>
        <xdr:cNvPr id="3579350" name="Freeform 1093"/>
        <xdr:cNvSpPr>
          <a:spLocks/>
        </xdr:cNvSpPr>
      </xdr:nvSpPr>
      <xdr:spPr bwMode="auto">
        <a:xfrm>
          <a:off x="2847975" y="5048250"/>
          <a:ext cx="638175" cy="533400"/>
        </a:xfrm>
        <a:custGeom>
          <a:avLst/>
          <a:gdLst>
            <a:gd name="T0" fmla="*/ 0 w 67"/>
            <a:gd name="T1" fmla="*/ 2147483647 h 56"/>
            <a:gd name="T2" fmla="*/ 2147483647 w 67"/>
            <a:gd name="T3" fmla="*/ 2147483647 h 56"/>
            <a:gd name="T4" fmla="*/ 2147483647 w 67"/>
            <a:gd name="T5" fmla="*/ 2147483647 h 56"/>
            <a:gd name="T6" fmla="*/ 2147483647 w 67"/>
            <a:gd name="T7" fmla="*/ 2147483647 h 56"/>
            <a:gd name="T8" fmla="*/ 2147483647 w 67"/>
            <a:gd name="T9" fmla="*/ 2147483647 h 56"/>
            <a:gd name="T10" fmla="*/ 2147483647 w 67"/>
            <a:gd name="T11" fmla="*/ 2147483647 h 56"/>
            <a:gd name="T12" fmla="*/ 2147483647 w 67"/>
            <a:gd name="T13" fmla="*/ 2147483647 h 56"/>
            <a:gd name="T14" fmla="*/ 2147483647 w 67"/>
            <a:gd name="T15" fmla="*/ 2147483647 h 56"/>
            <a:gd name="T16" fmla="*/ 2147483647 w 67"/>
            <a:gd name="T17" fmla="*/ 2147483647 h 56"/>
            <a:gd name="T18" fmla="*/ 2147483647 w 67"/>
            <a:gd name="T19" fmla="*/ 2147483647 h 56"/>
            <a:gd name="T20" fmla="*/ 2147483647 w 67"/>
            <a:gd name="T21" fmla="*/ 2147483647 h 56"/>
            <a:gd name="T22" fmla="*/ 0 w 67"/>
            <a:gd name="T23" fmla="*/ 2147483647 h 5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7"/>
            <a:gd name="T37" fmla="*/ 0 h 56"/>
            <a:gd name="T38" fmla="*/ 67 w 67"/>
            <a:gd name="T39" fmla="*/ 56 h 5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7" h="56">
              <a:moveTo>
                <a:pt x="0" y="55"/>
              </a:moveTo>
              <a:cubicBezTo>
                <a:pt x="3" y="47"/>
                <a:pt x="14" y="36"/>
                <a:pt x="20" y="30"/>
              </a:cubicBezTo>
              <a:cubicBezTo>
                <a:pt x="27" y="9"/>
                <a:pt x="31" y="4"/>
                <a:pt x="54" y="3"/>
              </a:cubicBezTo>
              <a:cubicBezTo>
                <a:pt x="56" y="2"/>
                <a:pt x="62" y="0"/>
                <a:pt x="64" y="3"/>
              </a:cubicBezTo>
              <a:cubicBezTo>
                <a:pt x="67" y="7"/>
                <a:pt x="54" y="12"/>
                <a:pt x="54" y="12"/>
              </a:cubicBezTo>
              <a:cubicBezTo>
                <a:pt x="52" y="19"/>
                <a:pt x="55" y="23"/>
                <a:pt x="57" y="29"/>
              </a:cubicBezTo>
              <a:cubicBezTo>
                <a:pt x="57" y="33"/>
                <a:pt x="62" y="51"/>
                <a:pt x="55" y="53"/>
              </a:cubicBezTo>
              <a:cubicBezTo>
                <a:pt x="47" y="52"/>
                <a:pt x="47" y="48"/>
                <a:pt x="40" y="46"/>
              </a:cubicBezTo>
              <a:cubicBezTo>
                <a:pt x="30" y="46"/>
                <a:pt x="21" y="46"/>
                <a:pt x="11" y="47"/>
              </a:cubicBezTo>
              <a:cubicBezTo>
                <a:pt x="10" y="47"/>
                <a:pt x="10" y="49"/>
                <a:pt x="9" y="50"/>
              </a:cubicBezTo>
              <a:cubicBezTo>
                <a:pt x="8" y="51"/>
                <a:pt x="7" y="51"/>
                <a:pt x="6" y="51"/>
              </a:cubicBezTo>
              <a:cubicBezTo>
                <a:pt x="3" y="56"/>
                <a:pt x="5" y="55"/>
                <a:pt x="0" y="55"/>
              </a:cubicBezTo>
              <a:close/>
            </a:path>
          </a:pathLst>
        </a:custGeom>
        <a:solidFill>
          <a:srgbClr val="00CCFF"/>
        </a:solidFill>
        <a:ln w="9525">
          <a:solidFill>
            <a:srgbClr val="000000"/>
          </a:solidFill>
          <a:round/>
          <a:headEnd/>
          <a:tailEnd/>
        </a:ln>
      </xdr:spPr>
    </xdr:sp>
    <xdr:clientData/>
  </xdr:twoCellAnchor>
  <xdr:twoCellAnchor>
    <xdr:from>
      <xdr:col>2</xdr:col>
      <xdr:colOff>161925</xdr:colOff>
      <xdr:row>22</xdr:row>
      <xdr:rowOff>133350</xdr:rowOff>
    </xdr:from>
    <xdr:to>
      <xdr:col>2</xdr:col>
      <xdr:colOff>561975</xdr:colOff>
      <xdr:row>23</xdr:row>
      <xdr:rowOff>209550</xdr:rowOff>
    </xdr:to>
    <xdr:sp macro="" textlink="">
      <xdr:nvSpPr>
        <xdr:cNvPr id="3579351" name="Freeform 1094"/>
        <xdr:cNvSpPr>
          <a:spLocks/>
        </xdr:cNvSpPr>
      </xdr:nvSpPr>
      <xdr:spPr bwMode="auto">
        <a:xfrm>
          <a:off x="723900" y="5210175"/>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xdr:col>
      <xdr:colOff>200025</xdr:colOff>
      <xdr:row>23</xdr:row>
      <xdr:rowOff>95250</xdr:rowOff>
    </xdr:from>
    <xdr:to>
      <xdr:col>3</xdr:col>
      <xdr:colOff>85725</xdr:colOff>
      <xdr:row>24</xdr:row>
      <xdr:rowOff>85725</xdr:rowOff>
    </xdr:to>
    <xdr:sp macro="" textlink="">
      <xdr:nvSpPr>
        <xdr:cNvPr id="3579352" name="AutoShape 1029"/>
        <xdr:cNvSpPr>
          <a:spLocks noChangeArrowheads="1"/>
        </xdr:cNvSpPr>
      </xdr:nvSpPr>
      <xdr:spPr bwMode="auto">
        <a:xfrm>
          <a:off x="495300" y="5419725"/>
          <a:ext cx="800100"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xdr:col>
      <xdr:colOff>85725</xdr:colOff>
      <xdr:row>35</xdr:row>
      <xdr:rowOff>180975</xdr:rowOff>
    </xdr:from>
    <xdr:to>
      <xdr:col>2</xdr:col>
      <xdr:colOff>104775</xdr:colOff>
      <xdr:row>37</xdr:row>
      <xdr:rowOff>95250</xdr:rowOff>
    </xdr:to>
    <xdr:sp macro="" textlink="">
      <xdr:nvSpPr>
        <xdr:cNvPr id="3579353" name="Freeform 1095"/>
        <xdr:cNvSpPr>
          <a:spLocks/>
        </xdr:cNvSpPr>
      </xdr:nvSpPr>
      <xdr:spPr bwMode="auto">
        <a:xfrm>
          <a:off x="381000" y="8439150"/>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3</xdr:col>
      <xdr:colOff>57150</xdr:colOff>
      <xdr:row>35</xdr:row>
      <xdr:rowOff>190500</xdr:rowOff>
    </xdr:from>
    <xdr:to>
      <xdr:col>4</xdr:col>
      <xdr:colOff>257175</xdr:colOff>
      <xdr:row>37</xdr:row>
      <xdr:rowOff>57150</xdr:rowOff>
    </xdr:to>
    <xdr:sp macro="" textlink="">
      <xdr:nvSpPr>
        <xdr:cNvPr id="3579354" name="Freeform 1096"/>
        <xdr:cNvSpPr>
          <a:spLocks/>
        </xdr:cNvSpPr>
      </xdr:nvSpPr>
      <xdr:spPr bwMode="auto">
        <a:xfrm>
          <a:off x="1266825" y="8448675"/>
          <a:ext cx="46672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11</xdr:col>
      <xdr:colOff>95250</xdr:colOff>
      <xdr:row>23</xdr:row>
      <xdr:rowOff>200025</xdr:rowOff>
    </xdr:from>
    <xdr:to>
      <xdr:col>11</xdr:col>
      <xdr:colOff>523875</xdr:colOff>
      <xdr:row>25</xdr:row>
      <xdr:rowOff>171450</xdr:rowOff>
    </xdr:to>
    <xdr:sp macro="" textlink="">
      <xdr:nvSpPr>
        <xdr:cNvPr id="3579355" name="Oval 1128"/>
        <xdr:cNvSpPr>
          <a:spLocks noChangeArrowheads="1"/>
        </xdr:cNvSpPr>
      </xdr:nvSpPr>
      <xdr:spPr bwMode="auto">
        <a:xfrm>
          <a:off x="4486275" y="5524500"/>
          <a:ext cx="428625" cy="466725"/>
        </a:xfrm>
        <a:prstGeom prst="ellipse">
          <a:avLst/>
        </a:prstGeom>
        <a:solidFill>
          <a:srgbClr val="FFFF00"/>
        </a:solidFill>
        <a:ln w="9525">
          <a:solidFill>
            <a:srgbClr val="000000"/>
          </a:solidFill>
          <a:round/>
          <a:headEnd/>
          <a:tailEnd/>
        </a:ln>
      </xdr:spPr>
    </xdr:sp>
    <xdr:clientData/>
  </xdr:twoCellAnchor>
  <xdr:twoCellAnchor>
    <xdr:from>
      <xdr:col>11</xdr:col>
      <xdr:colOff>238125</xdr:colOff>
      <xdr:row>25</xdr:row>
      <xdr:rowOff>171450</xdr:rowOff>
    </xdr:from>
    <xdr:to>
      <xdr:col>11</xdr:col>
      <xdr:colOff>419100</xdr:colOff>
      <xdr:row>27</xdr:row>
      <xdr:rowOff>0</xdr:rowOff>
    </xdr:to>
    <xdr:sp macro="" textlink="">
      <xdr:nvSpPr>
        <xdr:cNvPr id="3579356" name="Text Box 1129"/>
        <xdr:cNvSpPr txBox="1">
          <a:spLocks noChangeArrowheads="1"/>
        </xdr:cNvSpPr>
      </xdr:nvSpPr>
      <xdr:spPr bwMode="auto">
        <a:xfrm>
          <a:off x="4629150" y="5991225"/>
          <a:ext cx="180975" cy="152400"/>
        </a:xfrm>
        <a:prstGeom prst="rect">
          <a:avLst/>
        </a:prstGeom>
        <a:solidFill>
          <a:srgbClr val="FFFF00"/>
        </a:solidFill>
        <a:ln w="9525">
          <a:noFill/>
          <a:miter lim="800000"/>
          <a:headEnd/>
          <a:tailEnd/>
        </a:ln>
      </xdr:spPr>
    </xdr:sp>
    <xdr:clientData/>
  </xdr:twoCellAnchor>
  <xdr:twoCellAnchor>
    <xdr:from>
      <xdr:col>10</xdr:col>
      <xdr:colOff>19050</xdr:colOff>
      <xdr:row>25</xdr:row>
      <xdr:rowOff>142875</xdr:rowOff>
    </xdr:from>
    <xdr:to>
      <xdr:col>11</xdr:col>
      <xdr:colOff>276225</xdr:colOff>
      <xdr:row>27</xdr:row>
      <xdr:rowOff>28575</xdr:rowOff>
    </xdr:to>
    <xdr:sp macro="" textlink="">
      <xdr:nvSpPr>
        <xdr:cNvPr id="3579357" name="Freeform 1130"/>
        <xdr:cNvSpPr>
          <a:spLocks/>
        </xdr:cNvSpPr>
      </xdr:nvSpPr>
      <xdr:spPr bwMode="auto">
        <a:xfrm>
          <a:off x="4143375" y="5962650"/>
          <a:ext cx="523875" cy="20955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11</xdr:col>
      <xdr:colOff>409575</xdr:colOff>
      <xdr:row>25</xdr:row>
      <xdr:rowOff>161925</xdr:rowOff>
    </xdr:from>
    <xdr:to>
      <xdr:col>12</xdr:col>
      <xdr:colOff>295275</xdr:colOff>
      <xdr:row>27</xdr:row>
      <xdr:rowOff>9525</xdr:rowOff>
    </xdr:to>
    <xdr:sp macro="" textlink="">
      <xdr:nvSpPr>
        <xdr:cNvPr id="3579358" name="Freeform 1131"/>
        <xdr:cNvSpPr>
          <a:spLocks/>
        </xdr:cNvSpPr>
      </xdr:nvSpPr>
      <xdr:spPr bwMode="auto">
        <a:xfrm>
          <a:off x="4800600" y="5981700"/>
          <a:ext cx="54292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9</xdr:col>
      <xdr:colOff>171450</xdr:colOff>
      <xdr:row>26</xdr:row>
      <xdr:rowOff>38100</xdr:rowOff>
    </xdr:from>
    <xdr:to>
      <xdr:col>11</xdr:col>
      <xdr:colOff>0</xdr:colOff>
      <xdr:row>30</xdr:row>
      <xdr:rowOff>76200</xdr:rowOff>
    </xdr:to>
    <xdr:sp macro="" textlink="">
      <xdr:nvSpPr>
        <xdr:cNvPr id="3579359" name="Freeform 1132"/>
        <xdr:cNvSpPr>
          <a:spLocks/>
        </xdr:cNvSpPr>
      </xdr:nvSpPr>
      <xdr:spPr bwMode="auto">
        <a:xfrm>
          <a:off x="3895725" y="6105525"/>
          <a:ext cx="495300" cy="108585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FF0000"/>
        </a:solidFill>
        <a:ln w="9525">
          <a:solidFill>
            <a:srgbClr val="000000"/>
          </a:solidFill>
          <a:round/>
          <a:headEnd/>
          <a:tailEnd/>
        </a:ln>
      </xdr:spPr>
    </xdr:sp>
    <xdr:clientData/>
  </xdr:twoCellAnchor>
  <xdr:twoCellAnchor>
    <xdr:from>
      <xdr:col>10</xdr:col>
      <xdr:colOff>19050</xdr:colOff>
      <xdr:row>30</xdr:row>
      <xdr:rowOff>38100</xdr:rowOff>
    </xdr:from>
    <xdr:to>
      <xdr:col>10</xdr:col>
      <xdr:colOff>171450</xdr:colOff>
      <xdr:row>31</xdr:row>
      <xdr:rowOff>152400</xdr:rowOff>
    </xdr:to>
    <xdr:sp macro="" textlink="">
      <xdr:nvSpPr>
        <xdr:cNvPr id="3579360" name="Freeform 1133"/>
        <xdr:cNvSpPr>
          <a:spLocks/>
        </xdr:cNvSpPr>
      </xdr:nvSpPr>
      <xdr:spPr bwMode="auto">
        <a:xfrm>
          <a:off x="4143375" y="7153275"/>
          <a:ext cx="152400" cy="26670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11</xdr:col>
      <xdr:colOff>609600</xdr:colOff>
      <xdr:row>26</xdr:row>
      <xdr:rowOff>66675</xdr:rowOff>
    </xdr:from>
    <xdr:to>
      <xdr:col>13</xdr:col>
      <xdr:colOff>85725</xdr:colOff>
      <xdr:row>30</xdr:row>
      <xdr:rowOff>28575</xdr:rowOff>
    </xdr:to>
    <xdr:sp macro="" textlink="">
      <xdr:nvSpPr>
        <xdr:cNvPr id="3579361" name="Freeform 1134"/>
        <xdr:cNvSpPr>
          <a:spLocks/>
        </xdr:cNvSpPr>
      </xdr:nvSpPr>
      <xdr:spPr bwMode="auto">
        <a:xfrm>
          <a:off x="5000625" y="6134100"/>
          <a:ext cx="457200" cy="100965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FF0000"/>
        </a:solidFill>
        <a:ln w="9525">
          <a:solidFill>
            <a:srgbClr val="000000"/>
          </a:solidFill>
          <a:round/>
          <a:headEnd/>
          <a:tailEnd/>
        </a:ln>
      </xdr:spPr>
    </xdr:sp>
    <xdr:clientData/>
  </xdr:twoCellAnchor>
  <xdr:twoCellAnchor>
    <xdr:from>
      <xdr:col>10</xdr:col>
      <xdr:colOff>200025</xdr:colOff>
      <xdr:row>23</xdr:row>
      <xdr:rowOff>95250</xdr:rowOff>
    </xdr:from>
    <xdr:to>
      <xdr:col>12</xdr:col>
      <xdr:colOff>9525</xdr:colOff>
      <xdr:row>25</xdr:row>
      <xdr:rowOff>209550</xdr:rowOff>
    </xdr:to>
    <xdr:sp macro="" textlink="">
      <xdr:nvSpPr>
        <xdr:cNvPr id="3579362" name="Freeform 1135"/>
        <xdr:cNvSpPr>
          <a:spLocks/>
        </xdr:cNvSpPr>
      </xdr:nvSpPr>
      <xdr:spPr bwMode="auto">
        <a:xfrm>
          <a:off x="4324350" y="5419725"/>
          <a:ext cx="733425"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11</xdr:col>
      <xdr:colOff>200025</xdr:colOff>
      <xdr:row>24</xdr:row>
      <xdr:rowOff>104775</xdr:rowOff>
    </xdr:from>
    <xdr:to>
      <xdr:col>11</xdr:col>
      <xdr:colOff>266700</xdr:colOff>
      <xdr:row>24</xdr:row>
      <xdr:rowOff>228600</xdr:rowOff>
    </xdr:to>
    <xdr:sp macro="" textlink="">
      <xdr:nvSpPr>
        <xdr:cNvPr id="3579363" name="Freeform 1136"/>
        <xdr:cNvSpPr>
          <a:spLocks/>
        </xdr:cNvSpPr>
      </xdr:nvSpPr>
      <xdr:spPr bwMode="auto">
        <a:xfrm>
          <a:off x="4591050" y="5676900"/>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352425</xdr:colOff>
      <xdr:row>24</xdr:row>
      <xdr:rowOff>104775</xdr:rowOff>
    </xdr:from>
    <xdr:to>
      <xdr:col>11</xdr:col>
      <xdr:colOff>419100</xdr:colOff>
      <xdr:row>24</xdr:row>
      <xdr:rowOff>228600</xdr:rowOff>
    </xdr:to>
    <xdr:sp macro="" textlink="">
      <xdr:nvSpPr>
        <xdr:cNvPr id="3579364" name="Freeform 1137"/>
        <xdr:cNvSpPr>
          <a:spLocks/>
        </xdr:cNvSpPr>
      </xdr:nvSpPr>
      <xdr:spPr bwMode="auto">
        <a:xfrm>
          <a:off x="4743450" y="5676900"/>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171450</xdr:colOff>
      <xdr:row>24</xdr:row>
      <xdr:rowOff>76200</xdr:rowOff>
    </xdr:from>
    <xdr:to>
      <xdr:col>11</xdr:col>
      <xdr:colOff>266700</xdr:colOff>
      <xdr:row>24</xdr:row>
      <xdr:rowOff>114300</xdr:rowOff>
    </xdr:to>
    <xdr:sp macro="" textlink="">
      <xdr:nvSpPr>
        <xdr:cNvPr id="3579365" name="Freeform 1138"/>
        <xdr:cNvSpPr>
          <a:spLocks/>
        </xdr:cNvSpPr>
      </xdr:nvSpPr>
      <xdr:spPr bwMode="auto">
        <a:xfrm>
          <a:off x="4562475" y="5648325"/>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11</xdr:col>
      <xdr:colOff>352425</xdr:colOff>
      <xdr:row>24</xdr:row>
      <xdr:rowOff>76200</xdr:rowOff>
    </xdr:from>
    <xdr:to>
      <xdr:col>11</xdr:col>
      <xdr:colOff>438150</xdr:colOff>
      <xdr:row>24</xdr:row>
      <xdr:rowOff>85725</xdr:rowOff>
    </xdr:to>
    <xdr:sp macro="" textlink="">
      <xdr:nvSpPr>
        <xdr:cNvPr id="3579366" name="Freeform 1139"/>
        <xdr:cNvSpPr>
          <a:spLocks/>
        </xdr:cNvSpPr>
      </xdr:nvSpPr>
      <xdr:spPr bwMode="auto">
        <a:xfrm>
          <a:off x="4743450" y="5648325"/>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11</xdr:col>
      <xdr:colOff>247650</xdr:colOff>
      <xdr:row>25</xdr:row>
      <xdr:rowOff>66675</xdr:rowOff>
    </xdr:from>
    <xdr:to>
      <xdr:col>11</xdr:col>
      <xdr:colOff>409575</xdr:colOff>
      <xdr:row>25</xdr:row>
      <xdr:rowOff>114300</xdr:rowOff>
    </xdr:to>
    <xdr:sp macro="" textlink="">
      <xdr:nvSpPr>
        <xdr:cNvPr id="3579367" name="Freeform 1140"/>
        <xdr:cNvSpPr>
          <a:spLocks/>
        </xdr:cNvSpPr>
      </xdr:nvSpPr>
      <xdr:spPr bwMode="auto">
        <a:xfrm>
          <a:off x="4638675" y="5886450"/>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11</xdr:col>
      <xdr:colOff>295275</xdr:colOff>
      <xdr:row>24</xdr:row>
      <xdr:rowOff>200025</xdr:rowOff>
    </xdr:from>
    <xdr:to>
      <xdr:col>11</xdr:col>
      <xdr:colOff>323850</xdr:colOff>
      <xdr:row>25</xdr:row>
      <xdr:rowOff>104775</xdr:rowOff>
    </xdr:to>
    <xdr:sp macro="" textlink="">
      <xdr:nvSpPr>
        <xdr:cNvPr id="3579368" name="Freeform 1141"/>
        <xdr:cNvSpPr>
          <a:spLocks/>
        </xdr:cNvSpPr>
      </xdr:nvSpPr>
      <xdr:spPr bwMode="auto">
        <a:xfrm>
          <a:off x="4686300" y="5772150"/>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12</xdr:col>
      <xdr:colOff>95250</xdr:colOff>
      <xdr:row>29</xdr:row>
      <xdr:rowOff>352425</xdr:rowOff>
    </xdr:from>
    <xdr:to>
      <xdr:col>13</xdr:col>
      <xdr:colOff>114300</xdr:colOff>
      <xdr:row>31</xdr:row>
      <xdr:rowOff>114300</xdr:rowOff>
    </xdr:to>
    <xdr:sp macro="" textlink="">
      <xdr:nvSpPr>
        <xdr:cNvPr id="3579369" name="Freeform 1142"/>
        <xdr:cNvSpPr>
          <a:spLocks/>
        </xdr:cNvSpPr>
      </xdr:nvSpPr>
      <xdr:spPr bwMode="auto">
        <a:xfrm>
          <a:off x="5143500" y="7105650"/>
          <a:ext cx="342900" cy="27622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11</xdr:col>
      <xdr:colOff>209550</xdr:colOff>
      <xdr:row>24</xdr:row>
      <xdr:rowOff>123825</xdr:rowOff>
    </xdr:from>
    <xdr:to>
      <xdr:col>11</xdr:col>
      <xdr:colOff>304800</xdr:colOff>
      <xdr:row>24</xdr:row>
      <xdr:rowOff>200025</xdr:rowOff>
    </xdr:to>
    <xdr:sp macro="" textlink="">
      <xdr:nvSpPr>
        <xdr:cNvPr id="3579370" name="Freeform 1143"/>
        <xdr:cNvSpPr>
          <a:spLocks/>
        </xdr:cNvSpPr>
      </xdr:nvSpPr>
      <xdr:spPr bwMode="auto">
        <a:xfrm>
          <a:off x="4600575" y="56959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11</xdr:col>
      <xdr:colOff>361950</xdr:colOff>
      <xdr:row>24</xdr:row>
      <xdr:rowOff>133350</xdr:rowOff>
    </xdr:from>
    <xdr:to>
      <xdr:col>11</xdr:col>
      <xdr:colOff>457200</xdr:colOff>
      <xdr:row>24</xdr:row>
      <xdr:rowOff>209550</xdr:rowOff>
    </xdr:to>
    <xdr:sp macro="" textlink="">
      <xdr:nvSpPr>
        <xdr:cNvPr id="3579371" name="Freeform 1144"/>
        <xdr:cNvSpPr>
          <a:spLocks/>
        </xdr:cNvSpPr>
      </xdr:nvSpPr>
      <xdr:spPr bwMode="auto">
        <a:xfrm>
          <a:off x="4752975" y="570547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10</xdr:col>
      <xdr:colOff>209550</xdr:colOff>
      <xdr:row>30</xdr:row>
      <xdr:rowOff>114300</xdr:rowOff>
    </xdr:from>
    <xdr:to>
      <xdr:col>13</xdr:col>
      <xdr:colOff>9525</xdr:colOff>
      <xdr:row>35</xdr:row>
      <xdr:rowOff>209550</xdr:rowOff>
    </xdr:to>
    <xdr:sp macro="" textlink="">
      <xdr:nvSpPr>
        <xdr:cNvPr id="3579372" name="Freeform 1145"/>
        <xdr:cNvSpPr>
          <a:spLocks/>
        </xdr:cNvSpPr>
      </xdr:nvSpPr>
      <xdr:spPr bwMode="auto">
        <a:xfrm>
          <a:off x="4333875" y="7229475"/>
          <a:ext cx="1047750"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00CCFF"/>
        </a:solidFill>
        <a:ln w="9525">
          <a:solidFill>
            <a:srgbClr val="000000"/>
          </a:solidFill>
          <a:round/>
          <a:headEnd/>
          <a:tailEnd/>
        </a:ln>
      </xdr:spPr>
    </xdr:sp>
    <xdr:clientData/>
  </xdr:twoCellAnchor>
  <xdr:twoCellAnchor>
    <xdr:from>
      <xdr:col>11</xdr:col>
      <xdr:colOff>47625</xdr:colOff>
      <xdr:row>31</xdr:row>
      <xdr:rowOff>28575</xdr:rowOff>
    </xdr:from>
    <xdr:to>
      <xdr:col>11</xdr:col>
      <xdr:colOff>238125</xdr:colOff>
      <xdr:row>32</xdr:row>
      <xdr:rowOff>0</xdr:rowOff>
    </xdr:to>
    <xdr:sp macro="" textlink="">
      <xdr:nvSpPr>
        <xdr:cNvPr id="3579373" name="Freeform 1146"/>
        <xdr:cNvSpPr>
          <a:spLocks/>
        </xdr:cNvSpPr>
      </xdr:nvSpPr>
      <xdr:spPr bwMode="auto">
        <a:xfrm>
          <a:off x="4438650" y="72961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11</xdr:col>
      <xdr:colOff>419100</xdr:colOff>
      <xdr:row>31</xdr:row>
      <xdr:rowOff>19050</xdr:rowOff>
    </xdr:from>
    <xdr:to>
      <xdr:col>11</xdr:col>
      <xdr:colOff>609600</xdr:colOff>
      <xdr:row>31</xdr:row>
      <xdr:rowOff>238125</xdr:rowOff>
    </xdr:to>
    <xdr:sp macro="" textlink="">
      <xdr:nvSpPr>
        <xdr:cNvPr id="3579374" name="Freeform 1147"/>
        <xdr:cNvSpPr>
          <a:spLocks/>
        </xdr:cNvSpPr>
      </xdr:nvSpPr>
      <xdr:spPr bwMode="auto">
        <a:xfrm>
          <a:off x="4810125" y="728662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9</xdr:col>
      <xdr:colOff>352425</xdr:colOff>
      <xdr:row>35</xdr:row>
      <xdr:rowOff>123825</xdr:rowOff>
    </xdr:from>
    <xdr:to>
      <xdr:col>11</xdr:col>
      <xdr:colOff>285750</xdr:colOff>
      <xdr:row>37</xdr:row>
      <xdr:rowOff>238125</xdr:rowOff>
    </xdr:to>
    <xdr:sp macro="" textlink="">
      <xdr:nvSpPr>
        <xdr:cNvPr id="3579375" name="Freeform 1148"/>
        <xdr:cNvSpPr>
          <a:spLocks/>
        </xdr:cNvSpPr>
      </xdr:nvSpPr>
      <xdr:spPr bwMode="auto">
        <a:xfrm>
          <a:off x="4076700" y="8382000"/>
          <a:ext cx="60007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99CC00"/>
        </a:solidFill>
        <a:ln w="9525">
          <a:solidFill>
            <a:srgbClr val="000000"/>
          </a:solidFill>
          <a:round/>
          <a:headEnd/>
          <a:tailEnd/>
        </a:ln>
      </xdr:spPr>
    </xdr:sp>
    <xdr:clientData/>
  </xdr:twoCellAnchor>
  <xdr:twoCellAnchor>
    <xdr:from>
      <xdr:col>11</xdr:col>
      <xdr:colOff>590550</xdr:colOff>
      <xdr:row>35</xdr:row>
      <xdr:rowOff>171450</xdr:rowOff>
    </xdr:from>
    <xdr:to>
      <xdr:col>13</xdr:col>
      <xdr:colOff>371475</xdr:colOff>
      <xdr:row>37</xdr:row>
      <xdr:rowOff>209550</xdr:rowOff>
    </xdr:to>
    <xdr:sp macro="" textlink="">
      <xdr:nvSpPr>
        <xdr:cNvPr id="3579376" name="Freeform 1149"/>
        <xdr:cNvSpPr>
          <a:spLocks/>
        </xdr:cNvSpPr>
      </xdr:nvSpPr>
      <xdr:spPr bwMode="auto">
        <a:xfrm>
          <a:off x="4981575" y="8429625"/>
          <a:ext cx="762000"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99CC00"/>
        </a:solidFill>
        <a:ln w="9525">
          <a:solidFill>
            <a:srgbClr val="000000"/>
          </a:solidFill>
          <a:round/>
          <a:headEnd/>
          <a:tailEnd/>
        </a:ln>
      </xdr:spPr>
    </xdr:sp>
    <xdr:clientData/>
  </xdr:twoCellAnchor>
  <xdr:twoCellAnchor>
    <xdr:from>
      <xdr:col>11</xdr:col>
      <xdr:colOff>114300</xdr:colOff>
      <xdr:row>33</xdr:row>
      <xdr:rowOff>95250</xdr:rowOff>
    </xdr:from>
    <xdr:to>
      <xdr:col>11</xdr:col>
      <xdr:colOff>266700</xdr:colOff>
      <xdr:row>34</xdr:row>
      <xdr:rowOff>104775</xdr:rowOff>
    </xdr:to>
    <xdr:sp macro="" textlink="">
      <xdr:nvSpPr>
        <xdr:cNvPr id="3579377" name="Oval 1150"/>
        <xdr:cNvSpPr>
          <a:spLocks noChangeArrowheads="1"/>
        </xdr:cNvSpPr>
      </xdr:nvSpPr>
      <xdr:spPr bwMode="auto">
        <a:xfrm>
          <a:off x="4505325" y="7858125"/>
          <a:ext cx="152400" cy="257175"/>
        </a:xfrm>
        <a:prstGeom prst="ellipse">
          <a:avLst/>
        </a:prstGeom>
        <a:solidFill>
          <a:srgbClr val="FFCC00"/>
        </a:solidFill>
        <a:ln w="9525">
          <a:solidFill>
            <a:srgbClr val="000000"/>
          </a:solidFill>
          <a:round/>
          <a:headEnd/>
          <a:tailEnd/>
        </a:ln>
      </xdr:spPr>
    </xdr:sp>
    <xdr:clientData/>
  </xdr:twoCellAnchor>
  <xdr:twoCellAnchor>
    <xdr:from>
      <xdr:col>11</xdr:col>
      <xdr:colOff>561975</xdr:colOff>
      <xdr:row>33</xdr:row>
      <xdr:rowOff>85725</xdr:rowOff>
    </xdr:from>
    <xdr:to>
      <xdr:col>12</xdr:col>
      <xdr:colOff>66675</xdr:colOff>
      <xdr:row>34</xdr:row>
      <xdr:rowOff>95250</xdr:rowOff>
    </xdr:to>
    <xdr:sp macro="" textlink="">
      <xdr:nvSpPr>
        <xdr:cNvPr id="3579378" name="Oval 1151"/>
        <xdr:cNvSpPr>
          <a:spLocks noChangeArrowheads="1"/>
        </xdr:cNvSpPr>
      </xdr:nvSpPr>
      <xdr:spPr bwMode="auto">
        <a:xfrm>
          <a:off x="4953000" y="7848600"/>
          <a:ext cx="161925" cy="257175"/>
        </a:xfrm>
        <a:prstGeom prst="ellipse">
          <a:avLst/>
        </a:prstGeom>
        <a:solidFill>
          <a:srgbClr val="FFCC00"/>
        </a:solidFill>
        <a:ln w="9525">
          <a:solidFill>
            <a:srgbClr val="000000"/>
          </a:solidFill>
          <a:round/>
          <a:headEnd/>
          <a:tailEnd/>
        </a:ln>
      </xdr:spPr>
    </xdr:sp>
    <xdr:clientData/>
  </xdr:twoCellAnchor>
  <xdr:twoCellAnchor>
    <xdr:from>
      <xdr:col>13</xdr:col>
      <xdr:colOff>200025</xdr:colOff>
      <xdr:row>23</xdr:row>
      <xdr:rowOff>114300</xdr:rowOff>
    </xdr:from>
    <xdr:to>
      <xdr:col>14</xdr:col>
      <xdr:colOff>304800</xdr:colOff>
      <xdr:row>30</xdr:row>
      <xdr:rowOff>142875</xdr:rowOff>
    </xdr:to>
    <xdr:sp macro="" textlink="">
      <xdr:nvSpPr>
        <xdr:cNvPr id="3579379" name="Freeform 1152"/>
        <xdr:cNvSpPr>
          <a:spLocks/>
        </xdr:cNvSpPr>
      </xdr:nvSpPr>
      <xdr:spPr bwMode="auto">
        <a:xfrm>
          <a:off x="5572125" y="5438775"/>
          <a:ext cx="7905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13</xdr:col>
      <xdr:colOff>352425</xdr:colOff>
      <xdr:row>24</xdr:row>
      <xdr:rowOff>19050</xdr:rowOff>
    </xdr:from>
    <xdr:to>
      <xdr:col>14</xdr:col>
      <xdr:colOff>457200</xdr:colOff>
      <xdr:row>31</xdr:row>
      <xdr:rowOff>142875</xdr:rowOff>
    </xdr:to>
    <xdr:sp macro="" textlink="">
      <xdr:nvSpPr>
        <xdr:cNvPr id="3579380" name="Freeform 1153"/>
        <xdr:cNvSpPr>
          <a:spLocks/>
        </xdr:cNvSpPr>
      </xdr:nvSpPr>
      <xdr:spPr bwMode="auto">
        <a:xfrm>
          <a:off x="5724525" y="5591175"/>
          <a:ext cx="7905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11</xdr:col>
      <xdr:colOff>142875</xdr:colOff>
      <xdr:row>29</xdr:row>
      <xdr:rowOff>171450</xdr:rowOff>
    </xdr:from>
    <xdr:to>
      <xdr:col>14</xdr:col>
      <xdr:colOff>76200</xdr:colOff>
      <xdr:row>35</xdr:row>
      <xdr:rowOff>238125</xdr:rowOff>
    </xdr:to>
    <xdr:sp macro="" textlink="">
      <xdr:nvSpPr>
        <xdr:cNvPr id="3579381" name="Freeform 1154"/>
        <xdr:cNvSpPr>
          <a:spLocks/>
        </xdr:cNvSpPr>
      </xdr:nvSpPr>
      <xdr:spPr bwMode="auto">
        <a:xfrm>
          <a:off x="4533900" y="6924675"/>
          <a:ext cx="1600200"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11</xdr:col>
      <xdr:colOff>161925</xdr:colOff>
      <xdr:row>22</xdr:row>
      <xdr:rowOff>133350</xdr:rowOff>
    </xdr:from>
    <xdr:to>
      <xdr:col>11</xdr:col>
      <xdr:colOff>561975</xdr:colOff>
      <xdr:row>23</xdr:row>
      <xdr:rowOff>209550</xdr:rowOff>
    </xdr:to>
    <xdr:sp macro="" textlink="">
      <xdr:nvSpPr>
        <xdr:cNvPr id="3579382" name="Freeform 1155"/>
        <xdr:cNvSpPr>
          <a:spLocks/>
        </xdr:cNvSpPr>
      </xdr:nvSpPr>
      <xdr:spPr bwMode="auto">
        <a:xfrm>
          <a:off x="4552950" y="5210175"/>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10</xdr:col>
      <xdr:colOff>200025</xdr:colOff>
      <xdr:row>23</xdr:row>
      <xdr:rowOff>95250</xdr:rowOff>
    </xdr:from>
    <xdr:to>
      <xdr:col>12</xdr:col>
      <xdr:colOff>85725</xdr:colOff>
      <xdr:row>24</xdr:row>
      <xdr:rowOff>85725</xdr:rowOff>
    </xdr:to>
    <xdr:sp macro="" textlink="">
      <xdr:nvSpPr>
        <xdr:cNvPr id="3579383" name="AutoShape 1156"/>
        <xdr:cNvSpPr>
          <a:spLocks noChangeArrowheads="1"/>
        </xdr:cNvSpPr>
      </xdr:nvSpPr>
      <xdr:spPr bwMode="auto">
        <a:xfrm>
          <a:off x="4324350" y="5419725"/>
          <a:ext cx="809625"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10</xdr:col>
      <xdr:colOff>85725</xdr:colOff>
      <xdr:row>35</xdr:row>
      <xdr:rowOff>180975</xdr:rowOff>
    </xdr:from>
    <xdr:to>
      <xdr:col>11</xdr:col>
      <xdr:colOff>104775</xdr:colOff>
      <xdr:row>37</xdr:row>
      <xdr:rowOff>95250</xdr:rowOff>
    </xdr:to>
    <xdr:sp macro="" textlink="">
      <xdr:nvSpPr>
        <xdr:cNvPr id="3579384" name="Freeform 1157"/>
        <xdr:cNvSpPr>
          <a:spLocks/>
        </xdr:cNvSpPr>
      </xdr:nvSpPr>
      <xdr:spPr bwMode="auto">
        <a:xfrm>
          <a:off x="4210050" y="8439150"/>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12</xdr:col>
      <xdr:colOff>57150</xdr:colOff>
      <xdr:row>35</xdr:row>
      <xdr:rowOff>190500</xdr:rowOff>
    </xdr:from>
    <xdr:to>
      <xdr:col>13</xdr:col>
      <xdr:colOff>257175</xdr:colOff>
      <xdr:row>37</xdr:row>
      <xdr:rowOff>57150</xdr:rowOff>
    </xdr:to>
    <xdr:sp macro="" textlink="">
      <xdr:nvSpPr>
        <xdr:cNvPr id="3579385" name="Freeform 1158"/>
        <xdr:cNvSpPr>
          <a:spLocks/>
        </xdr:cNvSpPr>
      </xdr:nvSpPr>
      <xdr:spPr bwMode="auto">
        <a:xfrm>
          <a:off x="5105400" y="8448675"/>
          <a:ext cx="52387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8</xdr:col>
      <xdr:colOff>0</xdr:colOff>
      <xdr:row>27</xdr:row>
      <xdr:rowOff>28575</xdr:rowOff>
    </xdr:from>
    <xdr:to>
      <xdr:col>9</xdr:col>
      <xdr:colOff>76200</xdr:colOff>
      <xdr:row>30</xdr:row>
      <xdr:rowOff>19050</xdr:rowOff>
    </xdr:to>
    <xdr:sp macro="" textlink="">
      <xdr:nvSpPr>
        <xdr:cNvPr id="3579386" name="Freeform 1159"/>
        <xdr:cNvSpPr>
          <a:spLocks/>
        </xdr:cNvSpPr>
      </xdr:nvSpPr>
      <xdr:spPr bwMode="auto">
        <a:xfrm>
          <a:off x="3457575" y="6172200"/>
          <a:ext cx="342900" cy="962025"/>
        </a:xfrm>
        <a:custGeom>
          <a:avLst/>
          <a:gdLst>
            <a:gd name="T0" fmla="*/ 2147483647 w 36"/>
            <a:gd name="T1" fmla="*/ 0 h 101"/>
            <a:gd name="T2" fmla="*/ 2147483647 w 36"/>
            <a:gd name="T3" fmla="*/ 2147483647 h 101"/>
            <a:gd name="T4" fmla="*/ 2147483647 w 36"/>
            <a:gd name="T5" fmla="*/ 2147483647 h 101"/>
            <a:gd name="T6" fmla="*/ 2147483647 w 36"/>
            <a:gd name="T7" fmla="*/ 2147483647 h 101"/>
            <a:gd name="T8" fmla="*/ 2147483647 w 36"/>
            <a:gd name="T9" fmla="*/ 2147483647 h 101"/>
            <a:gd name="T10" fmla="*/ 2147483647 w 36"/>
            <a:gd name="T11" fmla="*/ 2147483647 h 101"/>
            <a:gd name="T12" fmla="*/ 2147483647 w 36"/>
            <a:gd name="T13" fmla="*/ 2147483647 h 101"/>
            <a:gd name="T14" fmla="*/ 0 w 36"/>
            <a:gd name="T15" fmla="*/ 2147483647 h 101"/>
            <a:gd name="T16" fmla="*/ 0 60000 65536"/>
            <a:gd name="T17" fmla="*/ 0 60000 65536"/>
            <a:gd name="T18" fmla="*/ 0 60000 65536"/>
            <a:gd name="T19" fmla="*/ 0 60000 65536"/>
            <a:gd name="T20" fmla="*/ 0 60000 65536"/>
            <a:gd name="T21" fmla="*/ 0 60000 65536"/>
            <a:gd name="T22" fmla="*/ 0 60000 65536"/>
            <a:gd name="T23" fmla="*/ 0 60000 65536"/>
            <a:gd name="T24" fmla="*/ 0 w 36"/>
            <a:gd name="T25" fmla="*/ 0 h 101"/>
            <a:gd name="T26" fmla="*/ 36 w 36"/>
            <a:gd name="T27" fmla="*/ 101 h 10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6" h="101">
              <a:moveTo>
                <a:pt x="28" y="0"/>
              </a:moveTo>
              <a:cubicBezTo>
                <a:pt x="29" y="7"/>
                <a:pt x="29" y="11"/>
                <a:pt x="31" y="17"/>
              </a:cubicBezTo>
              <a:cubicBezTo>
                <a:pt x="32" y="25"/>
                <a:pt x="36" y="30"/>
                <a:pt x="28" y="28"/>
              </a:cubicBezTo>
              <a:cubicBezTo>
                <a:pt x="26" y="21"/>
                <a:pt x="26" y="42"/>
                <a:pt x="23" y="47"/>
              </a:cubicBezTo>
              <a:cubicBezTo>
                <a:pt x="21" y="55"/>
                <a:pt x="23" y="62"/>
                <a:pt x="25" y="70"/>
              </a:cubicBezTo>
              <a:cubicBezTo>
                <a:pt x="26" y="80"/>
                <a:pt x="28" y="86"/>
                <a:pt x="30" y="95"/>
              </a:cubicBezTo>
              <a:cubicBezTo>
                <a:pt x="22" y="101"/>
                <a:pt x="15" y="99"/>
                <a:pt x="5" y="98"/>
              </a:cubicBezTo>
              <a:cubicBezTo>
                <a:pt x="3" y="72"/>
                <a:pt x="0" y="50"/>
                <a:pt x="0" y="23"/>
              </a:cubicBezTo>
            </a:path>
          </a:pathLst>
        </a:custGeom>
        <a:solidFill>
          <a:srgbClr val="00FF00"/>
        </a:solidFill>
        <a:ln w="9525">
          <a:solidFill>
            <a:srgbClr val="000000"/>
          </a:solidFill>
          <a:round/>
          <a:headEnd/>
          <a:tailEnd/>
        </a:ln>
      </xdr:spPr>
    </xdr:sp>
    <xdr:clientData/>
  </xdr:twoCellAnchor>
  <xdr:twoCellAnchor>
    <xdr:from>
      <xdr:col>10</xdr:col>
      <xdr:colOff>114300</xdr:colOff>
      <xdr:row>11</xdr:row>
      <xdr:rowOff>238125</xdr:rowOff>
    </xdr:from>
    <xdr:to>
      <xdr:col>11</xdr:col>
      <xdr:colOff>314325</xdr:colOff>
      <xdr:row>14</xdr:row>
      <xdr:rowOff>57150</xdr:rowOff>
    </xdr:to>
    <xdr:sp macro="" textlink="">
      <xdr:nvSpPr>
        <xdr:cNvPr id="3579387" name="AutoShape 1160"/>
        <xdr:cNvSpPr>
          <a:spLocks noChangeArrowheads="1"/>
        </xdr:cNvSpPr>
      </xdr:nvSpPr>
      <xdr:spPr bwMode="auto">
        <a:xfrm flipH="1">
          <a:off x="4238625" y="2590800"/>
          <a:ext cx="466725" cy="561975"/>
        </a:xfrm>
        <a:custGeom>
          <a:avLst/>
          <a:gdLst>
            <a:gd name="T0" fmla="*/ 2147483647 w 21600"/>
            <a:gd name="T1" fmla="*/ 2147483647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163 w 21600"/>
            <a:gd name="T19" fmla="*/ 3163 h 21600"/>
            <a:gd name="T20" fmla="*/ 18437 w 21600"/>
            <a:gd name="T21" fmla="*/ 18437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942" y="14556"/>
              </a:moveTo>
              <a:cubicBezTo>
                <a:pt x="16739" y="13466"/>
                <a:pt x="17169" y="12150"/>
                <a:pt x="17169" y="10800"/>
              </a:cubicBezTo>
              <a:cubicBezTo>
                <a:pt x="17169" y="7282"/>
                <a:pt x="14317" y="4431"/>
                <a:pt x="10800" y="4431"/>
              </a:cubicBezTo>
              <a:cubicBezTo>
                <a:pt x="7282" y="4431"/>
                <a:pt x="4431" y="7282"/>
                <a:pt x="4431" y="10800"/>
              </a:cubicBezTo>
              <a:lnTo>
                <a:pt x="0" y="10800"/>
              </a:lnTo>
              <a:cubicBezTo>
                <a:pt x="0" y="4835"/>
                <a:pt x="4835" y="0"/>
                <a:pt x="10800" y="0"/>
              </a:cubicBezTo>
              <a:cubicBezTo>
                <a:pt x="16764" y="0"/>
                <a:pt x="21600" y="4835"/>
                <a:pt x="21600" y="10800"/>
              </a:cubicBezTo>
              <a:cubicBezTo>
                <a:pt x="21600" y="13090"/>
                <a:pt x="20871" y="15321"/>
                <a:pt x="19520" y="17170"/>
              </a:cubicBezTo>
              <a:lnTo>
                <a:pt x="21701" y="18763"/>
              </a:lnTo>
              <a:lnTo>
                <a:pt x="14832" y="19834"/>
              </a:lnTo>
              <a:lnTo>
                <a:pt x="13762" y="12964"/>
              </a:lnTo>
              <a:lnTo>
                <a:pt x="15942" y="14556"/>
              </a:lnTo>
              <a:close/>
            </a:path>
          </a:pathLst>
        </a:custGeom>
        <a:solidFill>
          <a:srgbClr val="00CCFF"/>
        </a:solidFill>
        <a:ln w="9525">
          <a:solidFill>
            <a:srgbClr val="000000"/>
          </a:solidFill>
          <a:miter lim="800000"/>
          <a:headEnd/>
          <a:tailEnd/>
        </a:ln>
      </xdr:spPr>
    </xdr:sp>
    <xdr:clientData/>
  </xdr:twoCellAnchor>
  <xdr:twoCellAnchor>
    <xdr:from>
      <xdr:col>9</xdr:col>
      <xdr:colOff>123825</xdr:colOff>
      <xdr:row>10</xdr:row>
      <xdr:rowOff>104775</xdr:rowOff>
    </xdr:from>
    <xdr:to>
      <xdr:col>14</xdr:col>
      <xdr:colOff>561975</xdr:colOff>
      <xdr:row>11</xdr:row>
      <xdr:rowOff>238125</xdr:rowOff>
    </xdr:to>
    <xdr:sp macro="" textlink="">
      <xdr:nvSpPr>
        <xdr:cNvPr id="53385" name="WordArt 1161"/>
        <xdr:cNvSpPr>
          <a:spLocks noChangeArrowheads="1" noChangeShapeType="1" noTextEdit="1"/>
        </xdr:cNvSpPr>
      </xdr:nvSpPr>
      <xdr:spPr bwMode="auto">
        <a:xfrm>
          <a:off x="3848100" y="2209800"/>
          <a:ext cx="2771775" cy="3810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Εδώ το τρελό καρναβάλι!!</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2</xdr:col>
      <xdr:colOff>342900</xdr:colOff>
      <xdr:row>37</xdr:row>
      <xdr:rowOff>200025</xdr:rowOff>
    </xdr:from>
    <xdr:to>
      <xdr:col>12</xdr:col>
      <xdr:colOff>180975</xdr:colOff>
      <xdr:row>39</xdr:row>
      <xdr:rowOff>28575</xdr:rowOff>
    </xdr:to>
    <xdr:sp macro="" textlink="">
      <xdr:nvSpPr>
        <xdr:cNvPr id="3579389" name="Freeform 1165"/>
        <xdr:cNvSpPr>
          <a:spLocks/>
        </xdr:cNvSpPr>
      </xdr:nvSpPr>
      <xdr:spPr bwMode="auto">
        <a:xfrm>
          <a:off x="904875" y="8953500"/>
          <a:ext cx="4324350" cy="323850"/>
        </a:xfrm>
        <a:custGeom>
          <a:avLst/>
          <a:gdLst>
            <a:gd name="T0" fmla="*/ 0 w 454"/>
            <a:gd name="T1" fmla="*/ 2147483647 h 34"/>
            <a:gd name="T2" fmla="*/ 2147483647 w 454"/>
            <a:gd name="T3" fmla="*/ 2147483647 h 34"/>
            <a:gd name="T4" fmla="*/ 2147483647 w 454"/>
            <a:gd name="T5" fmla="*/ 2147483647 h 34"/>
            <a:gd name="T6" fmla="*/ 2147483647 w 454"/>
            <a:gd name="T7" fmla="*/ 2147483647 h 34"/>
            <a:gd name="T8" fmla="*/ 2147483647 w 454"/>
            <a:gd name="T9" fmla="*/ 2147483647 h 34"/>
            <a:gd name="T10" fmla="*/ 2147483647 w 454"/>
            <a:gd name="T11" fmla="*/ 0 h 34"/>
            <a:gd name="T12" fmla="*/ 2147483647 w 454"/>
            <a:gd name="T13" fmla="*/ 2147483647 h 34"/>
            <a:gd name="T14" fmla="*/ 2147483647 w 454"/>
            <a:gd name="T15" fmla="*/ 2147483647 h 34"/>
            <a:gd name="T16" fmla="*/ 2147483647 w 454"/>
            <a:gd name="T17" fmla="*/ 2147483647 h 34"/>
            <a:gd name="T18" fmla="*/ 2147483647 w 454"/>
            <a:gd name="T19" fmla="*/ 2147483647 h 34"/>
            <a:gd name="T20" fmla="*/ 2147483647 w 454"/>
            <a:gd name="T21" fmla="*/ 2147483647 h 34"/>
            <a:gd name="T22" fmla="*/ 2147483647 w 454"/>
            <a:gd name="T23" fmla="*/ 2147483647 h 34"/>
            <a:gd name="T24" fmla="*/ 2147483647 w 454"/>
            <a:gd name="T25" fmla="*/ 2147483647 h 34"/>
            <a:gd name="T26" fmla="*/ 2147483647 w 454"/>
            <a:gd name="T27" fmla="*/ 2147483647 h 34"/>
            <a:gd name="T28" fmla="*/ 2147483647 w 454"/>
            <a:gd name="T29" fmla="*/ 2147483647 h 34"/>
            <a:gd name="T30" fmla="*/ 2147483647 w 454"/>
            <a:gd name="T31" fmla="*/ 2147483647 h 34"/>
            <a:gd name="T32" fmla="*/ 2147483647 w 454"/>
            <a:gd name="T33" fmla="*/ 2147483647 h 34"/>
            <a:gd name="T34" fmla="*/ 2147483647 w 454"/>
            <a:gd name="T35" fmla="*/ 2147483647 h 34"/>
            <a:gd name="T36" fmla="*/ 2147483647 w 454"/>
            <a:gd name="T37" fmla="*/ 2147483647 h 34"/>
            <a:gd name="T38" fmla="*/ 2147483647 w 454"/>
            <a:gd name="T39" fmla="*/ 2147483647 h 34"/>
            <a:gd name="T40" fmla="*/ 2147483647 w 454"/>
            <a:gd name="T41" fmla="*/ 2147483647 h 34"/>
            <a:gd name="T42" fmla="*/ 2147483647 w 454"/>
            <a:gd name="T43" fmla="*/ 2147483647 h 34"/>
            <a:gd name="T44" fmla="*/ 2147483647 w 454"/>
            <a:gd name="T45" fmla="*/ 2147483647 h 34"/>
            <a:gd name="T46" fmla="*/ 2147483647 w 454"/>
            <a:gd name="T47" fmla="*/ 2147483647 h 34"/>
            <a:gd name="T48" fmla="*/ 2147483647 w 454"/>
            <a:gd name="T49" fmla="*/ 2147483647 h 34"/>
            <a:gd name="T50" fmla="*/ 2147483647 w 454"/>
            <a:gd name="T51" fmla="*/ 2147483647 h 34"/>
            <a:gd name="T52" fmla="*/ 0 w 454"/>
            <a:gd name="T53" fmla="*/ 2147483647 h 3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454"/>
            <a:gd name="T82" fmla="*/ 0 h 34"/>
            <a:gd name="T83" fmla="*/ 454 w 454"/>
            <a:gd name="T84" fmla="*/ 34 h 34"/>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454" h="34">
              <a:moveTo>
                <a:pt x="0" y="25"/>
              </a:moveTo>
              <a:cubicBezTo>
                <a:pt x="4" y="17"/>
                <a:pt x="8" y="11"/>
                <a:pt x="17" y="9"/>
              </a:cubicBezTo>
              <a:cubicBezTo>
                <a:pt x="68" y="10"/>
                <a:pt x="49" y="6"/>
                <a:pt x="73" y="12"/>
              </a:cubicBezTo>
              <a:cubicBezTo>
                <a:pt x="81" y="14"/>
                <a:pt x="97" y="21"/>
                <a:pt x="97" y="21"/>
              </a:cubicBezTo>
              <a:cubicBezTo>
                <a:pt x="109" y="21"/>
                <a:pt x="121" y="22"/>
                <a:pt x="133" y="20"/>
              </a:cubicBezTo>
              <a:cubicBezTo>
                <a:pt x="138" y="19"/>
                <a:pt x="149" y="2"/>
                <a:pt x="159" y="0"/>
              </a:cubicBezTo>
              <a:cubicBezTo>
                <a:pt x="182" y="2"/>
                <a:pt x="181" y="9"/>
                <a:pt x="199" y="17"/>
              </a:cubicBezTo>
              <a:cubicBezTo>
                <a:pt x="217" y="25"/>
                <a:pt x="238" y="27"/>
                <a:pt x="257" y="28"/>
              </a:cubicBezTo>
              <a:cubicBezTo>
                <a:pt x="271" y="32"/>
                <a:pt x="320" y="27"/>
                <a:pt x="325" y="27"/>
              </a:cubicBezTo>
              <a:cubicBezTo>
                <a:pt x="329" y="26"/>
                <a:pt x="337" y="24"/>
                <a:pt x="337" y="24"/>
              </a:cubicBezTo>
              <a:cubicBezTo>
                <a:pt x="348" y="13"/>
                <a:pt x="358" y="7"/>
                <a:pt x="373" y="5"/>
              </a:cubicBezTo>
              <a:cubicBezTo>
                <a:pt x="412" y="6"/>
                <a:pt x="424" y="6"/>
                <a:pt x="454" y="16"/>
              </a:cubicBezTo>
              <a:cubicBezTo>
                <a:pt x="447" y="18"/>
                <a:pt x="445" y="19"/>
                <a:pt x="436" y="15"/>
              </a:cubicBezTo>
              <a:cubicBezTo>
                <a:pt x="433" y="14"/>
                <a:pt x="430" y="9"/>
                <a:pt x="430" y="9"/>
              </a:cubicBezTo>
              <a:cubicBezTo>
                <a:pt x="405" y="9"/>
                <a:pt x="380" y="9"/>
                <a:pt x="355" y="10"/>
              </a:cubicBezTo>
              <a:cubicBezTo>
                <a:pt x="354" y="10"/>
                <a:pt x="347" y="23"/>
                <a:pt x="343" y="24"/>
              </a:cubicBezTo>
              <a:cubicBezTo>
                <a:pt x="330" y="27"/>
                <a:pt x="318" y="31"/>
                <a:pt x="306" y="34"/>
              </a:cubicBezTo>
              <a:cubicBezTo>
                <a:pt x="275" y="33"/>
                <a:pt x="250" y="30"/>
                <a:pt x="218" y="29"/>
              </a:cubicBezTo>
              <a:cubicBezTo>
                <a:pt x="204" y="26"/>
                <a:pt x="191" y="13"/>
                <a:pt x="176" y="9"/>
              </a:cubicBezTo>
              <a:cubicBezTo>
                <a:pt x="167" y="3"/>
                <a:pt x="166" y="5"/>
                <a:pt x="152" y="6"/>
              </a:cubicBezTo>
              <a:cubicBezTo>
                <a:pt x="146" y="15"/>
                <a:pt x="132" y="22"/>
                <a:pt x="122" y="25"/>
              </a:cubicBezTo>
              <a:cubicBezTo>
                <a:pt x="109" y="24"/>
                <a:pt x="99" y="22"/>
                <a:pt x="85" y="21"/>
              </a:cubicBezTo>
              <a:cubicBezTo>
                <a:pt x="80" y="18"/>
                <a:pt x="75" y="17"/>
                <a:pt x="69" y="16"/>
              </a:cubicBezTo>
              <a:cubicBezTo>
                <a:pt x="67" y="15"/>
                <a:pt x="63" y="14"/>
                <a:pt x="63" y="14"/>
              </a:cubicBezTo>
              <a:cubicBezTo>
                <a:pt x="60" y="11"/>
                <a:pt x="54" y="7"/>
                <a:pt x="54" y="7"/>
              </a:cubicBezTo>
              <a:cubicBezTo>
                <a:pt x="38" y="8"/>
                <a:pt x="26" y="16"/>
                <a:pt x="10" y="19"/>
              </a:cubicBezTo>
              <a:cubicBezTo>
                <a:pt x="7" y="21"/>
                <a:pt x="0" y="25"/>
                <a:pt x="0" y="25"/>
              </a:cubicBezTo>
              <a:close/>
            </a:path>
          </a:pathLst>
        </a:custGeom>
        <a:solidFill>
          <a:srgbClr val="00CCFF"/>
        </a:solidFill>
        <a:ln w="9525">
          <a:solidFill>
            <a:srgbClr val="000000"/>
          </a:solidFill>
          <a:round/>
          <a:headEnd/>
          <a:tailEnd/>
        </a:ln>
      </xdr:spPr>
    </xdr:sp>
    <xdr:clientData/>
  </xdr:twoCellAnchor>
  <xdr:twoCellAnchor>
    <xdr:from>
      <xdr:col>0</xdr:col>
      <xdr:colOff>171450</xdr:colOff>
      <xdr:row>52</xdr:row>
      <xdr:rowOff>114300</xdr:rowOff>
    </xdr:from>
    <xdr:to>
      <xdr:col>14</xdr:col>
      <xdr:colOff>295275</xdr:colOff>
      <xdr:row>54</xdr:row>
      <xdr:rowOff>142875</xdr:rowOff>
    </xdr:to>
    <xdr:sp macro="" textlink="">
      <xdr:nvSpPr>
        <xdr:cNvPr id="53392" name="WordArt 1168" descr="90%"/>
        <xdr:cNvSpPr>
          <a:spLocks noChangeArrowheads="1" noChangeShapeType="1" noTextEdit="1"/>
        </xdr:cNvSpPr>
      </xdr:nvSpPr>
      <xdr:spPr bwMode="auto">
        <a:xfrm>
          <a:off x="171450" y="10848975"/>
          <a:ext cx="6324600" cy="5238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pattFill prst="pct90">
                <a:fgClr>
                  <a:srgbClr val="33CCFF"/>
                </a:fgClr>
                <a:bgClr>
                  <a:srgbClr val="FFFFFF"/>
                </a:bgClr>
              </a:pattFill>
              <a:effectLst>
                <a:outerShdw dist="125724" dir="18900000" algn="ctr" rotWithShape="0">
                  <a:srgbClr val="000099"/>
                </a:outerShdw>
              </a:effectLst>
              <a:latin typeface="Comic Sans MS"/>
            </a:rPr>
            <a:t>Μπορείς μόνος σου να κάνεις τις μεταμορφώσεις;</a:t>
          </a:r>
          <a:endParaRPr lang="en-GB" sz="3600" b="1" kern="10" spc="-360">
            <a:ln w="12700">
              <a:solidFill>
                <a:srgbClr val="000099"/>
              </a:solidFill>
              <a:round/>
              <a:headEnd/>
              <a:tailEnd/>
            </a:ln>
            <a:pattFill prst="pct90">
              <a:fgClr>
                <a:srgbClr val="33CCFF"/>
              </a:fgClr>
              <a:bgClr>
                <a:srgbClr val="FFFFFF"/>
              </a:bgClr>
            </a:pattFill>
            <a:effectLst>
              <a:outerShdw dist="125724" dir="18900000" algn="ctr" rotWithShape="0">
                <a:srgbClr val="000099"/>
              </a:outerShdw>
            </a:effectLst>
            <a:latin typeface="Comic Sans MS"/>
          </a:endParaRPr>
        </a:p>
      </xdr:txBody>
    </xdr:sp>
    <xdr:clientData/>
  </xdr:twoCellAnchor>
  <xdr:twoCellAnchor>
    <xdr:from>
      <xdr:col>5</xdr:col>
      <xdr:colOff>152400</xdr:colOff>
      <xdr:row>54</xdr:row>
      <xdr:rowOff>142875</xdr:rowOff>
    </xdr:from>
    <xdr:to>
      <xdr:col>10</xdr:col>
      <xdr:colOff>142875</xdr:colOff>
      <xdr:row>57</xdr:row>
      <xdr:rowOff>66675</xdr:rowOff>
    </xdr:to>
    <xdr:sp macro="" textlink="">
      <xdr:nvSpPr>
        <xdr:cNvPr id="53393" name="WordArt 1169" descr="80%"/>
        <xdr:cNvSpPr>
          <a:spLocks noChangeArrowheads="1" noChangeShapeType="1" noTextEdit="1"/>
        </xdr:cNvSpPr>
      </xdr:nvSpPr>
      <xdr:spPr bwMode="auto">
        <a:xfrm>
          <a:off x="2314575" y="12372975"/>
          <a:ext cx="2028825" cy="49530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pattFill prst="pct80">
                <a:fgClr>
                  <a:srgbClr val="FF0000"/>
                </a:fgClr>
                <a:bgClr>
                  <a:srgbClr val="FFFFFF"/>
                </a:bgClr>
              </a:pattFill>
              <a:effectLst>
                <a:outerShdw dist="125724" dir="18900000" algn="ctr" rotWithShape="0">
                  <a:srgbClr val="000099"/>
                </a:outerShdw>
              </a:effectLst>
              <a:latin typeface="Comic Sans MS"/>
            </a:rPr>
            <a:t>Δοκίμασε</a:t>
          </a:r>
          <a:endParaRPr lang="en-GB" sz="3600" b="1" kern="10" spc="-360">
            <a:ln w="12700">
              <a:solidFill>
                <a:srgbClr val="000099"/>
              </a:solidFill>
              <a:round/>
              <a:headEnd/>
              <a:tailEnd/>
            </a:ln>
            <a:pattFill prst="pct80">
              <a:fgClr>
                <a:srgbClr val="FF0000"/>
              </a:fgClr>
              <a:bgClr>
                <a:srgbClr val="FFFFFF"/>
              </a:bgClr>
            </a:pattFill>
            <a:effectLst>
              <a:outerShdw dist="125724" dir="18900000" algn="ctr" rotWithShape="0">
                <a:srgbClr val="000099"/>
              </a:outerShdw>
            </a:effectLst>
            <a:latin typeface="Comic Sans MS"/>
          </a:endParaRPr>
        </a:p>
      </xdr:txBody>
    </xdr:sp>
    <xdr:clientData/>
  </xdr:twoCellAnchor>
  <xdr:twoCellAnchor>
    <xdr:from>
      <xdr:col>2</xdr:col>
      <xdr:colOff>95250</xdr:colOff>
      <xdr:row>60</xdr:row>
      <xdr:rowOff>200025</xdr:rowOff>
    </xdr:from>
    <xdr:to>
      <xdr:col>2</xdr:col>
      <xdr:colOff>523875</xdr:colOff>
      <xdr:row>62</xdr:row>
      <xdr:rowOff>171450</xdr:rowOff>
    </xdr:to>
    <xdr:sp macro="" textlink="">
      <xdr:nvSpPr>
        <xdr:cNvPr id="3579392" name="Oval 1170"/>
        <xdr:cNvSpPr>
          <a:spLocks noChangeArrowheads="1"/>
        </xdr:cNvSpPr>
      </xdr:nvSpPr>
      <xdr:spPr bwMode="auto">
        <a:xfrm>
          <a:off x="657225" y="11820525"/>
          <a:ext cx="428625" cy="466725"/>
        </a:xfrm>
        <a:prstGeom prst="ellipse">
          <a:avLst/>
        </a:prstGeom>
        <a:solidFill>
          <a:srgbClr val="FFFF00"/>
        </a:solidFill>
        <a:ln w="9525">
          <a:solidFill>
            <a:srgbClr val="000000"/>
          </a:solidFill>
          <a:round/>
          <a:headEnd/>
          <a:tailEnd/>
        </a:ln>
      </xdr:spPr>
    </xdr:sp>
    <xdr:clientData/>
  </xdr:twoCellAnchor>
  <xdr:twoCellAnchor>
    <xdr:from>
      <xdr:col>2</xdr:col>
      <xdr:colOff>238125</xdr:colOff>
      <xdr:row>62</xdr:row>
      <xdr:rowOff>171450</xdr:rowOff>
    </xdr:from>
    <xdr:to>
      <xdr:col>2</xdr:col>
      <xdr:colOff>419100</xdr:colOff>
      <xdr:row>64</xdr:row>
      <xdr:rowOff>0</xdr:rowOff>
    </xdr:to>
    <xdr:sp macro="" textlink="">
      <xdr:nvSpPr>
        <xdr:cNvPr id="3579393" name="Text Box 1171"/>
        <xdr:cNvSpPr txBox="1">
          <a:spLocks noChangeArrowheads="1"/>
        </xdr:cNvSpPr>
      </xdr:nvSpPr>
      <xdr:spPr bwMode="auto">
        <a:xfrm>
          <a:off x="800100" y="12287250"/>
          <a:ext cx="180975" cy="152400"/>
        </a:xfrm>
        <a:prstGeom prst="rect">
          <a:avLst/>
        </a:prstGeom>
        <a:solidFill>
          <a:srgbClr val="FFFF00"/>
        </a:solidFill>
        <a:ln w="9525">
          <a:noFill/>
          <a:miter lim="800000"/>
          <a:headEnd/>
          <a:tailEnd/>
        </a:ln>
      </xdr:spPr>
    </xdr:sp>
    <xdr:clientData/>
  </xdr:twoCellAnchor>
  <xdr:twoCellAnchor>
    <xdr:from>
      <xdr:col>0</xdr:col>
      <xdr:colOff>371475</xdr:colOff>
      <xdr:row>62</xdr:row>
      <xdr:rowOff>142875</xdr:rowOff>
    </xdr:from>
    <xdr:to>
      <xdr:col>2</xdr:col>
      <xdr:colOff>276225</xdr:colOff>
      <xdr:row>64</xdr:row>
      <xdr:rowOff>47625</xdr:rowOff>
    </xdr:to>
    <xdr:sp macro="" textlink="">
      <xdr:nvSpPr>
        <xdr:cNvPr id="3579394" name="Freeform 1172"/>
        <xdr:cNvSpPr>
          <a:spLocks/>
        </xdr:cNvSpPr>
      </xdr:nvSpPr>
      <xdr:spPr bwMode="auto">
        <a:xfrm>
          <a:off x="295275" y="12258675"/>
          <a:ext cx="542925"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2</xdr:col>
      <xdr:colOff>409575</xdr:colOff>
      <xdr:row>62</xdr:row>
      <xdr:rowOff>161925</xdr:rowOff>
    </xdr:from>
    <xdr:to>
      <xdr:col>4</xdr:col>
      <xdr:colOff>19050</xdr:colOff>
      <xdr:row>64</xdr:row>
      <xdr:rowOff>9525</xdr:rowOff>
    </xdr:to>
    <xdr:sp macro="" textlink="">
      <xdr:nvSpPr>
        <xdr:cNvPr id="3579395" name="Freeform 1173"/>
        <xdr:cNvSpPr>
          <a:spLocks/>
        </xdr:cNvSpPr>
      </xdr:nvSpPr>
      <xdr:spPr bwMode="auto">
        <a:xfrm>
          <a:off x="971550" y="12277725"/>
          <a:ext cx="5238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0</xdr:col>
      <xdr:colOff>171450</xdr:colOff>
      <xdr:row>63</xdr:row>
      <xdr:rowOff>38100</xdr:rowOff>
    </xdr:from>
    <xdr:to>
      <xdr:col>2</xdr:col>
      <xdr:colOff>0</xdr:colOff>
      <xdr:row>67</xdr:row>
      <xdr:rowOff>76200</xdr:rowOff>
    </xdr:to>
    <xdr:sp macro="" textlink="">
      <xdr:nvSpPr>
        <xdr:cNvPr id="3579396" name="Freeform 1174"/>
        <xdr:cNvSpPr>
          <a:spLocks/>
        </xdr:cNvSpPr>
      </xdr:nvSpPr>
      <xdr:spPr bwMode="auto">
        <a:xfrm>
          <a:off x="171450" y="12401550"/>
          <a:ext cx="390525" cy="108585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1</xdr:col>
      <xdr:colOff>28575</xdr:colOff>
      <xdr:row>67</xdr:row>
      <xdr:rowOff>38100</xdr:rowOff>
    </xdr:from>
    <xdr:to>
      <xdr:col>1</xdr:col>
      <xdr:colOff>171450</xdr:colOff>
      <xdr:row>68</xdr:row>
      <xdr:rowOff>57150</xdr:rowOff>
    </xdr:to>
    <xdr:sp macro="" textlink="">
      <xdr:nvSpPr>
        <xdr:cNvPr id="3579397" name="Freeform 1175"/>
        <xdr:cNvSpPr>
          <a:spLocks/>
        </xdr:cNvSpPr>
      </xdr:nvSpPr>
      <xdr:spPr bwMode="auto">
        <a:xfrm>
          <a:off x="323850" y="13449300"/>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2</xdr:col>
      <xdr:colOff>609600</xdr:colOff>
      <xdr:row>63</xdr:row>
      <xdr:rowOff>66675</xdr:rowOff>
    </xdr:from>
    <xdr:to>
      <xdr:col>4</xdr:col>
      <xdr:colOff>95250</xdr:colOff>
      <xdr:row>67</xdr:row>
      <xdr:rowOff>28575</xdr:rowOff>
    </xdr:to>
    <xdr:sp macro="" textlink="">
      <xdr:nvSpPr>
        <xdr:cNvPr id="3579398" name="Freeform 1176"/>
        <xdr:cNvSpPr>
          <a:spLocks/>
        </xdr:cNvSpPr>
      </xdr:nvSpPr>
      <xdr:spPr bwMode="auto">
        <a:xfrm>
          <a:off x="1171575" y="12430125"/>
          <a:ext cx="400050" cy="100965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00FF00"/>
        </a:solidFill>
        <a:ln w="9525">
          <a:solidFill>
            <a:srgbClr val="000000"/>
          </a:solidFill>
          <a:round/>
          <a:headEnd/>
          <a:tailEnd/>
        </a:ln>
      </xdr:spPr>
    </xdr:sp>
    <xdr:clientData/>
  </xdr:twoCellAnchor>
  <xdr:twoCellAnchor>
    <xdr:from>
      <xdr:col>1</xdr:col>
      <xdr:colOff>200025</xdr:colOff>
      <xdr:row>60</xdr:row>
      <xdr:rowOff>95250</xdr:rowOff>
    </xdr:from>
    <xdr:to>
      <xdr:col>3</xdr:col>
      <xdr:colOff>9525</xdr:colOff>
      <xdr:row>62</xdr:row>
      <xdr:rowOff>209550</xdr:rowOff>
    </xdr:to>
    <xdr:sp macro="" textlink="">
      <xdr:nvSpPr>
        <xdr:cNvPr id="3579399" name="Freeform 1177"/>
        <xdr:cNvSpPr>
          <a:spLocks/>
        </xdr:cNvSpPr>
      </xdr:nvSpPr>
      <xdr:spPr bwMode="auto">
        <a:xfrm>
          <a:off x="495300" y="11715750"/>
          <a:ext cx="7239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2</xdr:col>
      <xdr:colOff>200025</xdr:colOff>
      <xdr:row>61</xdr:row>
      <xdr:rowOff>104775</xdr:rowOff>
    </xdr:from>
    <xdr:to>
      <xdr:col>2</xdr:col>
      <xdr:colOff>266700</xdr:colOff>
      <xdr:row>61</xdr:row>
      <xdr:rowOff>228600</xdr:rowOff>
    </xdr:to>
    <xdr:sp macro="" textlink="">
      <xdr:nvSpPr>
        <xdr:cNvPr id="3579400" name="Freeform 1178"/>
        <xdr:cNvSpPr>
          <a:spLocks/>
        </xdr:cNvSpPr>
      </xdr:nvSpPr>
      <xdr:spPr bwMode="auto">
        <a:xfrm>
          <a:off x="762000" y="1197292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352425</xdr:colOff>
      <xdr:row>61</xdr:row>
      <xdr:rowOff>104775</xdr:rowOff>
    </xdr:from>
    <xdr:to>
      <xdr:col>2</xdr:col>
      <xdr:colOff>419100</xdr:colOff>
      <xdr:row>61</xdr:row>
      <xdr:rowOff>228600</xdr:rowOff>
    </xdr:to>
    <xdr:sp macro="" textlink="">
      <xdr:nvSpPr>
        <xdr:cNvPr id="3579401" name="Freeform 1179"/>
        <xdr:cNvSpPr>
          <a:spLocks/>
        </xdr:cNvSpPr>
      </xdr:nvSpPr>
      <xdr:spPr bwMode="auto">
        <a:xfrm>
          <a:off x="914400" y="1197292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171450</xdr:colOff>
      <xdr:row>61</xdr:row>
      <xdr:rowOff>76200</xdr:rowOff>
    </xdr:from>
    <xdr:to>
      <xdr:col>2</xdr:col>
      <xdr:colOff>266700</xdr:colOff>
      <xdr:row>61</xdr:row>
      <xdr:rowOff>114300</xdr:rowOff>
    </xdr:to>
    <xdr:sp macro="" textlink="">
      <xdr:nvSpPr>
        <xdr:cNvPr id="3579402" name="Freeform 1180"/>
        <xdr:cNvSpPr>
          <a:spLocks/>
        </xdr:cNvSpPr>
      </xdr:nvSpPr>
      <xdr:spPr bwMode="auto">
        <a:xfrm>
          <a:off x="733425" y="1194435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2</xdr:col>
      <xdr:colOff>352425</xdr:colOff>
      <xdr:row>61</xdr:row>
      <xdr:rowOff>76200</xdr:rowOff>
    </xdr:from>
    <xdr:to>
      <xdr:col>2</xdr:col>
      <xdr:colOff>438150</xdr:colOff>
      <xdr:row>61</xdr:row>
      <xdr:rowOff>85725</xdr:rowOff>
    </xdr:to>
    <xdr:sp macro="" textlink="">
      <xdr:nvSpPr>
        <xdr:cNvPr id="3579403" name="Freeform 1181"/>
        <xdr:cNvSpPr>
          <a:spLocks/>
        </xdr:cNvSpPr>
      </xdr:nvSpPr>
      <xdr:spPr bwMode="auto">
        <a:xfrm>
          <a:off x="914400" y="1194435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2</xdr:col>
      <xdr:colOff>247650</xdr:colOff>
      <xdr:row>62</xdr:row>
      <xdr:rowOff>66675</xdr:rowOff>
    </xdr:from>
    <xdr:to>
      <xdr:col>2</xdr:col>
      <xdr:colOff>409575</xdr:colOff>
      <xdr:row>62</xdr:row>
      <xdr:rowOff>114300</xdr:rowOff>
    </xdr:to>
    <xdr:sp macro="" textlink="">
      <xdr:nvSpPr>
        <xdr:cNvPr id="3579404" name="Freeform 1182"/>
        <xdr:cNvSpPr>
          <a:spLocks/>
        </xdr:cNvSpPr>
      </xdr:nvSpPr>
      <xdr:spPr bwMode="auto">
        <a:xfrm>
          <a:off x="809625" y="1218247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2</xdr:col>
      <xdr:colOff>295275</xdr:colOff>
      <xdr:row>61</xdr:row>
      <xdr:rowOff>200025</xdr:rowOff>
    </xdr:from>
    <xdr:to>
      <xdr:col>2</xdr:col>
      <xdr:colOff>323850</xdr:colOff>
      <xdr:row>62</xdr:row>
      <xdr:rowOff>104775</xdr:rowOff>
    </xdr:to>
    <xdr:sp macro="" textlink="">
      <xdr:nvSpPr>
        <xdr:cNvPr id="3579405" name="Freeform 1183"/>
        <xdr:cNvSpPr>
          <a:spLocks/>
        </xdr:cNvSpPr>
      </xdr:nvSpPr>
      <xdr:spPr bwMode="auto">
        <a:xfrm>
          <a:off x="857250" y="1206817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3</xdr:col>
      <xdr:colOff>95250</xdr:colOff>
      <xdr:row>66</xdr:row>
      <xdr:rowOff>352425</xdr:rowOff>
    </xdr:from>
    <xdr:to>
      <xdr:col>4</xdr:col>
      <xdr:colOff>114300</xdr:colOff>
      <xdr:row>68</xdr:row>
      <xdr:rowOff>19050</xdr:rowOff>
    </xdr:to>
    <xdr:sp macro="" textlink="">
      <xdr:nvSpPr>
        <xdr:cNvPr id="3579406" name="Freeform 1184"/>
        <xdr:cNvSpPr>
          <a:spLocks/>
        </xdr:cNvSpPr>
      </xdr:nvSpPr>
      <xdr:spPr bwMode="auto">
        <a:xfrm>
          <a:off x="1304925" y="13401675"/>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2</xdr:col>
      <xdr:colOff>209550</xdr:colOff>
      <xdr:row>61</xdr:row>
      <xdr:rowOff>123825</xdr:rowOff>
    </xdr:from>
    <xdr:to>
      <xdr:col>2</xdr:col>
      <xdr:colOff>304800</xdr:colOff>
      <xdr:row>61</xdr:row>
      <xdr:rowOff>200025</xdr:rowOff>
    </xdr:to>
    <xdr:sp macro="" textlink="">
      <xdr:nvSpPr>
        <xdr:cNvPr id="3579407" name="Freeform 1185"/>
        <xdr:cNvSpPr>
          <a:spLocks/>
        </xdr:cNvSpPr>
      </xdr:nvSpPr>
      <xdr:spPr bwMode="auto">
        <a:xfrm>
          <a:off x="771525" y="1199197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2</xdr:col>
      <xdr:colOff>361950</xdr:colOff>
      <xdr:row>61</xdr:row>
      <xdr:rowOff>133350</xdr:rowOff>
    </xdr:from>
    <xdr:to>
      <xdr:col>2</xdr:col>
      <xdr:colOff>457200</xdr:colOff>
      <xdr:row>61</xdr:row>
      <xdr:rowOff>209550</xdr:rowOff>
    </xdr:to>
    <xdr:sp macro="" textlink="">
      <xdr:nvSpPr>
        <xdr:cNvPr id="3579408" name="Freeform 1186"/>
        <xdr:cNvSpPr>
          <a:spLocks/>
        </xdr:cNvSpPr>
      </xdr:nvSpPr>
      <xdr:spPr bwMode="auto">
        <a:xfrm>
          <a:off x="923925" y="1200150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xdr:col>
      <xdr:colOff>209550</xdr:colOff>
      <xdr:row>67</xdr:row>
      <xdr:rowOff>114300</xdr:rowOff>
    </xdr:from>
    <xdr:to>
      <xdr:col>4</xdr:col>
      <xdr:colOff>9525</xdr:colOff>
      <xdr:row>72</xdr:row>
      <xdr:rowOff>209550</xdr:rowOff>
    </xdr:to>
    <xdr:sp macro="" textlink="">
      <xdr:nvSpPr>
        <xdr:cNvPr id="3579409" name="Freeform 1187"/>
        <xdr:cNvSpPr>
          <a:spLocks/>
        </xdr:cNvSpPr>
      </xdr:nvSpPr>
      <xdr:spPr bwMode="auto">
        <a:xfrm>
          <a:off x="504825" y="13525500"/>
          <a:ext cx="9810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2</xdr:col>
      <xdr:colOff>47625</xdr:colOff>
      <xdr:row>68</xdr:row>
      <xdr:rowOff>28575</xdr:rowOff>
    </xdr:from>
    <xdr:to>
      <xdr:col>2</xdr:col>
      <xdr:colOff>238125</xdr:colOff>
      <xdr:row>69</xdr:row>
      <xdr:rowOff>0</xdr:rowOff>
    </xdr:to>
    <xdr:sp macro="" textlink="">
      <xdr:nvSpPr>
        <xdr:cNvPr id="3579410" name="Freeform 1188"/>
        <xdr:cNvSpPr>
          <a:spLocks/>
        </xdr:cNvSpPr>
      </xdr:nvSpPr>
      <xdr:spPr bwMode="auto">
        <a:xfrm>
          <a:off x="609600" y="135921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2</xdr:col>
      <xdr:colOff>419100</xdr:colOff>
      <xdr:row>68</xdr:row>
      <xdr:rowOff>19050</xdr:rowOff>
    </xdr:from>
    <xdr:to>
      <xdr:col>2</xdr:col>
      <xdr:colOff>609600</xdr:colOff>
      <xdr:row>68</xdr:row>
      <xdr:rowOff>238125</xdr:rowOff>
    </xdr:to>
    <xdr:sp macro="" textlink="">
      <xdr:nvSpPr>
        <xdr:cNvPr id="3579411" name="Freeform 1189"/>
        <xdr:cNvSpPr>
          <a:spLocks/>
        </xdr:cNvSpPr>
      </xdr:nvSpPr>
      <xdr:spPr bwMode="auto">
        <a:xfrm>
          <a:off x="981075" y="135826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0</xdr:col>
      <xdr:colOff>352425</xdr:colOff>
      <xdr:row>72</xdr:row>
      <xdr:rowOff>123825</xdr:rowOff>
    </xdr:from>
    <xdr:to>
      <xdr:col>2</xdr:col>
      <xdr:colOff>285750</xdr:colOff>
      <xdr:row>74</xdr:row>
      <xdr:rowOff>238125</xdr:rowOff>
    </xdr:to>
    <xdr:sp macro="" textlink="">
      <xdr:nvSpPr>
        <xdr:cNvPr id="3579412" name="Freeform 1190"/>
        <xdr:cNvSpPr>
          <a:spLocks/>
        </xdr:cNvSpPr>
      </xdr:nvSpPr>
      <xdr:spPr bwMode="auto">
        <a:xfrm>
          <a:off x="295275" y="14678025"/>
          <a:ext cx="552450"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FF0000"/>
        </a:solidFill>
        <a:ln w="9525">
          <a:solidFill>
            <a:srgbClr val="000000"/>
          </a:solidFill>
          <a:round/>
          <a:headEnd/>
          <a:tailEnd/>
        </a:ln>
      </xdr:spPr>
    </xdr:sp>
    <xdr:clientData/>
  </xdr:twoCellAnchor>
  <xdr:twoCellAnchor>
    <xdr:from>
      <xdr:col>2</xdr:col>
      <xdr:colOff>590550</xdr:colOff>
      <xdr:row>72</xdr:row>
      <xdr:rowOff>171450</xdr:rowOff>
    </xdr:from>
    <xdr:to>
      <xdr:col>4</xdr:col>
      <xdr:colOff>371475</xdr:colOff>
      <xdr:row>74</xdr:row>
      <xdr:rowOff>209550</xdr:rowOff>
    </xdr:to>
    <xdr:sp macro="" textlink="">
      <xdr:nvSpPr>
        <xdr:cNvPr id="3579413" name="Freeform 1191"/>
        <xdr:cNvSpPr>
          <a:spLocks/>
        </xdr:cNvSpPr>
      </xdr:nvSpPr>
      <xdr:spPr bwMode="auto">
        <a:xfrm>
          <a:off x="1152525" y="14725650"/>
          <a:ext cx="695325"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FF0000"/>
        </a:solidFill>
        <a:ln w="9525">
          <a:solidFill>
            <a:srgbClr val="000000"/>
          </a:solidFill>
          <a:round/>
          <a:headEnd/>
          <a:tailEnd/>
        </a:ln>
      </xdr:spPr>
    </xdr:sp>
    <xdr:clientData/>
  </xdr:twoCellAnchor>
  <xdr:twoCellAnchor>
    <xdr:from>
      <xdr:col>2</xdr:col>
      <xdr:colOff>114300</xdr:colOff>
      <xdr:row>70</xdr:row>
      <xdr:rowOff>95250</xdr:rowOff>
    </xdr:from>
    <xdr:to>
      <xdr:col>2</xdr:col>
      <xdr:colOff>266700</xdr:colOff>
      <xdr:row>71</xdr:row>
      <xdr:rowOff>104775</xdr:rowOff>
    </xdr:to>
    <xdr:sp macro="" textlink="">
      <xdr:nvSpPr>
        <xdr:cNvPr id="3579414" name="Oval 1192"/>
        <xdr:cNvSpPr>
          <a:spLocks noChangeArrowheads="1"/>
        </xdr:cNvSpPr>
      </xdr:nvSpPr>
      <xdr:spPr bwMode="auto">
        <a:xfrm>
          <a:off x="676275" y="14154150"/>
          <a:ext cx="152400" cy="257175"/>
        </a:xfrm>
        <a:prstGeom prst="ellipse">
          <a:avLst/>
        </a:prstGeom>
        <a:solidFill>
          <a:srgbClr val="FFCC00"/>
        </a:solidFill>
        <a:ln w="9525">
          <a:solidFill>
            <a:srgbClr val="000000"/>
          </a:solidFill>
          <a:round/>
          <a:headEnd/>
          <a:tailEnd/>
        </a:ln>
      </xdr:spPr>
    </xdr:sp>
    <xdr:clientData/>
  </xdr:twoCellAnchor>
  <xdr:twoCellAnchor>
    <xdr:from>
      <xdr:col>2</xdr:col>
      <xdr:colOff>561975</xdr:colOff>
      <xdr:row>70</xdr:row>
      <xdr:rowOff>85725</xdr:rowOff>
    </xdr:from>
    <xdr:to>
      <xdr:col>3</xdr:col>
      <xdr:colOff>66675</xdr:colOff>
      <xdr:row>71</xdr:row>
      <xdr:rowOff>95250</xdr:rowOff>
    </xdr:to>
    <xdr:sp macro="" textlink="">
      <xdr:nvSpPr>
        <xdr:cNvPr id="3579415" name="Oval 1193"/>
        <xdr:cNvSpPr>
          <a:spLocks noChangeArrowheads="1"/>
        </xdr:cNvSpPr>
      </xdr:nvSpPr>
      <xdr:spPr bwMode="auto">
        <a:xfrm>
          <a:off x="1123950" y="14144625"/>
          <a:ext cx="152400" cy="257175"/>
        </a:xfrm>
        <a:prstGeom prst="ellipse">
          <a:avLst/>
        </a:prstGeom>
        <a:solidFill>
          <a:srgbClr val="FFCC00"/>
        </a:solidFill>
        <a:ln w="9525">
          <a:solidFill>
            <a:srgbClr val="000000"/>
          </a:solidFill>
          <a:round/>
          <a:headEnd/>
          <a:tailEnd/>
        </a:ln>
      </xdr:spPr>
    </xdr:sp>
    <xdr:clientData/>
  </xdr:twoCellAnchor>
  <xdr:twoCellAnchor>
    <xdr:from>
      <xdr:col>4</xdr:col>
      <xdr:colOff>200025</xdr:colOff>
      <xdr:row>60</xdr:row>
      <xdr:rowOff>114300</xdr:rowOff>
    </xdr:from>
    <xdr:to>
      <xdr:col>5</xdr:col>
      <xdr:colOff>304800</xdr:colOff>
      <xdr:row>67</xdr:row>
      <xdr:rowOff>142875</xdr:rowOff>
    </xdr:to>
    <xdr:sp macro="" textlink="">
      <xdr:nvSpPr>
        <xdr:cNvPr id="3579416" name="Freeform 1194"/>
        <xdr:cNvSpPr>
          <a:spLocks/>
        </xdr:cNvSpPr>
      </xdr:nvSpPr>
      <xdr:spPr bwMode="auto">
        <a:xfrm>
          <a:off x="1676400" y="11734800"/>
          <a:ext cx="7905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4</xdr:col>
      <xdr:colOff>352425</xdr:colOff>
      <xdr:row>61</xdr:row>
      <xdr:rowOff>19050</xdr:rowOff>
    </xdr:from>
    <xdr:to>
      <xdr:col>5</xdr:col>
      <xdr:colOff>457200</xdr:colOff>
      <xdr:row>68</xdr:row>
      <xdr:rowOff>142875</xdr:rowOff>
    </xdr:to>
    <xdr:sp macro="" textlink="">
      <xdr:nvSpPr>
        <xdr:cNvPr id="3579417" name="Freeform 1195"/>
        <xdr:cNvSpPr>
          <a:spLocks/>
        </xdr:cNvSpPr>
      </xdr:nvSpPr>
      <xdr:spPr bwMode="auto">
        <a:xfrm>
          <a:off x="1828800" y="11887200"/>
          <a:ext cx="7143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7</xdr:col>
      <xdr:colOff>95250</xdr:colOff>
      <xdr:row>60</xdr:row>
      <xdr:rowOff>200025</xdr:rowOff>
    </xdr:from>
    <xdr:to>
      <xdr:col>7</xdr:col>
      <xdr:colOff>523875</xdr:colOff>
      <xdr:row>62</xdr:row>
      <xdr:rowOff>171450</xdr:rowOff>
    </xdr:to>
    <xdr:sp macro="" textlink="">
      <xdr:nvSpPr>
        <xdr:cNvPr id="3579418" name="Oval 1196"/>
        <xdr:cNvSpPr>
          <a:spLocks noChangeArrowheads="1"/>
        </xdr:cNvSpPr>
      </xdr:nvSpPr>
      <xdr:spPr bwMode="auto">
        <a:xfrm>
          <a:off x="2905125" y="11820525"/>
          <a:ext cx="428625" cy="466725"/>
        </a:xfrm>
        <a:prstGeom prst="ellipse">
          <a:avLst/>
        </a:prstGeom>
        <a:solidFill>
          <a:srgbClr val="FFFF00"/>
        </a:solidFill>
        <a:ln w="9525">
          <a:solidFill>
            <a:srgbClr val="000000"/>
          </a:solidFill>
          <a:round/>
          <a:headEnd/>
          <a:tailEnd/>
        </a:ln>
      </xdr:spPr>
    </xdr:sp>
    <xdr:clientData/>
  </xdr:twoCellAnchor>
  <xdr:twoCellAnchor>
    <xdr:from>
      <xdr:col>7</xdr:col>
      <xdr:colOff>238125</xdr:colOff>
      <xdr:row>62</xdr:row>
      <xdr:rowOff>171450</xdr:rowOff>
    </xdr:from>
    <xdr:to>
      <xdr:col>7</xdr:col>
      <xdr:colOff>419100</xdr:colOff>
      <xdr:row>64</xdr:row>
      <xdr:rowOff>0</xdr:rowOff>
    </xdr:to>
    <xdr:sp macro="" textlink="">
      <xdr:nvSpPr>
        <xdr:cNvPr id="3579419" name="Text Box 1197"/>
        <xdr:cNvSpPr txBox="1">
          <a:spLocks noChangeArrowheads="1"/>
        </xdr:cNvSpPr>
      </xdr:nvSpPr>
      <xdr:spPr bwMode="auto">
        <a:xfrm>
          <a:off x="3048000" y="12287250"/>
          <a:ext cx="180975" cy="152400"/>
        </a:xfrm>
        <a:prstGeom prst="rect">
          <a:avLst/>
        </a:prstGeom>
        <a:solidFill>
          <a:srgbClr val="FFFF00"/>
        </a:solidFill>
        <a:ln w="9525">
          <a:noFill/>
          <a:miter lim="800000"/>
          <a:headEnd/>
          <a:tailEnd/>
        </a:ln>
      </xdr:spPr>
    </xdr:sp>
    <xdr:clientData/>
  </xdr:twoCellAnchor>
  <xdr:twoCellAnchor>
    <xdr:from>
      <xdr:col>5</xdr:col>
      <xdr:colOff>371475</xdr:colOff>
      <xdr:row>62</xdr:row>
      <xdr:rowOff>142875</xdr:rowOff>
    </xdr:from>
    <xdr:to>
      <xdr:col>7</xdr:col>
      <xdr:colOff>276225</xdr:colOff>
      <xdr:row>64</xdr:row>
      <xdr:rowOff>47625</xdr:rowOff>
    </xdr:to>
    <xdr:sp macro="" textlink="">
      <xdr:nvSpPr>
        <xdr:cNvPr id="3579420" name="Freeform 1198"/>
        <xdr:cNvSpPr>
          <a:spLocks/>
        </xdr:cNvSpPr>
      </xdr:nvSpPr>
      <xdr:spPr bwMode="auto">
        <a:xfrm>
          <a:off x="2533650" y="12258675"/>
          <a:ext cx="552450"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7</xdr:col>
      <xdr:colOff>409575</xdr:colOff>
      <xdr:row>62</xdr:row>
      <xdr:rowOff>161925</xdr:rowOff>
    </xdr:from>
    <xdr:to>
      <xdr:col>9</xdr:col>
      <xdr:colOff>19050</xdr:colOff>
      <xdr:row>64</xdr:row>
      <xdr:rowOff>9525</xdr:rowOff>
    </xdr:to>
    <xdr:sp macro="" textlink="">
      <xdr:nvSpPr>
        <xdr:cNvPr id="3579421" name="Freeform 1199"/>
        <xdr:cNvSpPr>
          <a:spLocks/>
        </xdr:cNvSpPr>
      </xdr:nvSpPr>
      <xdr:spPr bwMode="auto">
        <a:xfrm>
          <a:off x="3219450" y="12277725"/>
          <a:ext cx="5238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5</xdr:col>
      <xdr:colOff>171450</xdr:colOff>
      <xdr:row>63</xdr:row>
      <xdr:rowOff>38100</xdr:rowOff>
    </xdr:from>
    <xdr:to>
      <xdr:col>7</xdr:col>
      <xdr:colOff>0</xdr:colOff>
      <xdr:row>67</xdr:row>
      <xdr:rowOff>76200</xdr:rowOff>
    </xdr:to>
    <xdr:sp macro="" textlink="">
      <xdr:nvSpPr>
        <xdr:cNvPr id="3579422" name="Freeform 1200"/>
        <xdr:cNvSpPr>
          <a:spLocks/>
        </xdr:cNvSpPr>
      </xdr:nvSpPr>
      <xdr:spPr bwMode="auto">
        <a:xfrm>
          <a:off x="2333625" y="12401550"/>
          <a:ext cx="476250" cy="108585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6</xdr:col>
      <xdr:colOff>28575</xdr:colOff>
      <xdr:row>67</xdr:row>
      <xdr:rowOff>38100</xdr:rowOff>
    </xdr:from>
    <xdr:to>
      <xdr:col>6</xdr:col>
      <xdr:colOff>171450</xdr:colOff>
      <xdr:row>68</xdr:row>
      <xdr:rowOff>57150</xdr:rowOff>
    </xdr:to>
    <xdr:sp macro="" textlink="">
      <xdr:nvSpPr>
        <xdr:cNvPr id="3579423" name="Freeform 1201"/>
        <xdr:cNvSpPr>
          <a:spLocks/>
        </xdr:cNvSpPr>
      </xdr:nvSpPr>
      <xdr:spPr bwMode="auto">
        <a:xfrm>
          <a:off x="2571750" y="13449300"/>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6</xdr:col>
      <xdr:colOff>200025</xdr:colOff>
      <xdr:row>60</xdr:row>
      <xdr:rowOff>95250</xdr:rowOff>
    </xdr:from>
    <xdr:to>
      <xdr:col>8</xdr:col>
      <xdr:colOff>9525</xdr:colOff>
      <xdr:row>62</xdr:row>
      <xdr:rowOff>209550</xdr:rowOff>
    </xdr:to>
    <xdr:sp macro="" textlink="">
      <xdr:nvSpPr>
        <xdr:cNvPr id="3579424" name="Freeform 1202"/>
        <xdr:cNvSpPr>
          <a:spLocks/>
        </xdr:cNvSpPr>
      </xdr:nvSpPr>
      <xdr:spPr bwMode="auto">
        <a:xfrm>
          <a:off x="2743200" y="11715750"/>
          <a:ext cx="7239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7</xdr:col>
      <xdr:colOff>200025</xdr:colOff>
      <xdr:row>61</xdr:row>
      <xdr:rowOff>104775</xdr:rowOff>
    </xdr:from>
    <xdr:to>
      <xdr:col>7</xdr:col>
      <xdr:colOff>266700</xdr:colOff>
      <xdr:row>61</xdr:row>
      <xdr:rowOff>228600</xdr:rowOff>
    </xdr:to>
    <xdr:sp macro="" textlink="">
      <xdr:nvSpPr>
        <xdr:cNvPr id="3579425" name="Freeform 1203"/>
        <xdr:cNvSpPr>
          <a:spLocks/>
        </xdr:cNvSpPr>
      </xdr:nvSpPr>
      <xdr:spPr bwMode="auto">
        <a:xfrm>
          <a:off x="3009900" y="1197292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352425</xdr:colOff>
      <xdr:row>61</xdr:row>
      <xdr:rowOff>104775</xdr:rowOff>
    </xdr:from>
    <xdr:to>
      <xdr:col>7</xdr:col>
      <xdr:colOff>419100</xdr:colOff>
      <xdr:row>61</xdr:row>
      <xdr:rowOff>228600</xdr:rowOff>
    </xdr:to>
    <xdr:sp macro="" textlink="">
      <xdr:nvSpPr>
        <xdr:cNvPr id="3579426" name="Freeform 1204"/>
        <xdr:cNvSpPr>
          <a:spLocks/>
        </xdr:cNvSpPr>
      </xdr:nvSpPr>
      <xdr:spPr bwMode="auto">
        <a:xfrm>
          <a:off x="3162300" y="1197292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171450</xdr:colOff>
      <xdr:row>61</xdr:row>
      <xdr:rowOff>76200</xdr:rowOff>
    </xdr:from>
    <xdr:to>
      <xdr:col>7</xdr:col>
      <xdr:colOff>266700</xdr:colOff>
      <xdr:row>61</xdr:row>
      <xdr:rowOff>114300</xdr:rowOff>
    </xdr:to>
    <xdr:sp macro="" textlink="">
      <xdr:nvSpPr>
        <xdr:cNvPr id="3579427" name="Freeform 1205"/>
        <xdr:cNvSpPr>
          <a:spLocks/>
        </xdr:cNvSpPr>
      </xdr:nvSpPr>
      <xdr:spPr bwMode="auto">
        <a:xfrm>
          <a:off x="2981325" y="1194435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7</xdr:col>
      <xdr:colOff>352425</xdr:colOff>
      <xdr:row>61</xdr:row>
      <xdr:rowOff>76200</xdr:rowOff>
    </xdr:from>
    <xdr:to>
      <xdr:col>7</xdr:col>
      <xdr:colOff>438150</xdr:colOff>
      <xdr:row>61</xdr:row>
      <xdr:rowOff>85725</xdr:rowOff>
    </xdr:to>
    <xdr:sp macro="" textlink="">
      <xdr:nvSpPr>
        <xdr:cNvPr id="3579428" name="Freeform 1206"/>
        <xdr:cNvSpPr>
          <a:spLocks/>
        </xdr:cNvSpPr>
      </xdr:nvSpPr>
      <xdr:spPr bwMode="auto">
        <a:xfrm>
          <a:off x="3162300" y="1194435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7</xdr:col>
      <xdr:colOff>247650</xdr:colOff>
      <xdr:row>62</xdr:row>
      <xdr:rowOff>66675</xdr:rowOff>
    </xdr:from>
    <xdr:to>
      <xdr:col>7</xdr:col>
      <xdr:colOff>409575</xdr:colOff>
      <xdr:row>62</xdr:row>
      <xdr:rowOff>114300</xdr:rowOff>
    </xdr:to>
    <xdr:sp macro="" textlink="">
      <xdr:nvSpPr>
        <xdr:cNvPr id="3579429" name="Freeform 1207"/>
        <xdr:cNvSpPr>
          <a:spLocks/>
        </xdr:cNvSpPr>
      </xdr:nvSpPr>
      <xdr:spPr bwMode="auto">
        <a:xfrm>
          <a:off x="3057525" y="1218247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7</xdr:col>
      <xdr:colOff>295275</xdr:colOff>
      <xdr:row>61</xdr:row>
      <xdr:rowOff>200025</xdr:rowOff>
    </xdr:from>
    <xdr:to>
      <xdr:col>7</xdr:col>
      <xdr:colOff>323850</xdr:colOff>
      <xdr:row>62</xdr:row>
      <xdr:rowOff>104775</xdr:rowOff>
    </xdr:to>
    <xdr:sp macro="" textlink="">
      <xdr:nvSpPr>
        <xdr:cNvPr id="3579430" name="Freeform 1208"/>
        <xdr:cNvSpPr>
          <a:spLocks/>
        </xdr:cNvSpPr>
      </xdr:nvSpPr>
      <xdr:spPr bwMode="auto">
        <a:xfrm>
          <a:off x="3105150" y="1206817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8</xdr:col>
      <xdr:colOff>95250</xdr:colOff>
      <xdr:row>66</xdr:row>
      <xdr:rowOff>352425</xdr:rowOff>
    </xdr:from>
    <xdr:to>
      <xdr:col>9</xdr:col>
      <xdr:colOff>114300</xdr:colOff>
      <xdr:row>68</xdr:row>
      <xdr:rowOff>19050</xdr:rowOff>
    </xdr:to>
    <xdr:sp macro="" textlink="">
      <xdr:nvSpPr>
        <xdr:cNvPr id="3579431" name="Freeform 1209"/>
        <xdr:cNvSpPr>
          <a:spLocks/>
        </xdr:cNvSpPr>
      </xdr:nvSpPr>
      <xdr:spPr bwMode="auto">
        <a:xfrm>
          <a:off x="3552825" y="13401675"/>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7</xdr:col>
      <xdr:colOff>209550</xdr:colOff>
      <xdr:row>61</xdr:row>
      <xdr:rowOff>123825</xdr:rowOff>
    </xdr:from>
    <xdr:to>
      <xdr:col>7</xdr:col>
      <xdr:colOff>304800</xdr:colOff>
      <xdr:row>61</xdr:row>
      <xdr:rowOff>200025</xdr:rowOff>
    </xdr:to>
    <xdr:sp macro="" textlink="">
      <xdr:nvSpPr>
        <xdr:cNvPr id="3579432" name="Freeform 1210"/>
        <xdr:cNvSpPr>
          <a:spLocks/>
        </xdr:cNvSpPr>
      </xdr:nvSpPr>
      <xdr:spPr bwMode="auto">
        <a:xfrm>
          <a:off x="3019425" y="1199197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7</xdr:col>
      <xdr:colOff>361950</xdr:colOff>
      <xdr:row>61</xdr:row>
      <xdr:rowOff>133350</xdr:rowOff>
    </xdr:from>
    <xdr:to>
      <xdr:col>7</xdr:col>
      <xdr:colOff>457200</xdr:colOff>
      <xdr:row>61</xdr:row>
      <xdr:rowOff>209550</xdr:rowOff>
    </xdr:to>
    <xdr:sp macro="" textlink="">
      <xdr:nvSpPr>
        <xdr:cNvPr id="3579433" name="Freeform 1211"/>
        <xdr:cNvSpPr>
          <a:spLocks/>
        </xdr:cNvSpPr>
      </xdr:nvSpPr>
      <xdr:spPr bwMode="auto">
        <a:xfrm>
          <a:off x="3171825" y="1200150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6</xdr:col>
      <xdr:colOff>209550</xdr:colOff>
      <xdr:row>67</xdr:row>
      <xdr:rowOff>114300</xdr:rowOff>
    </xdr:from>
    <xdr:to>
      <xdr:col>9</xdr:col>
      <xdr:colOff>9525</xdr:colOff>
      <xdr:row>72</xdr:row>
      <xdr:rowOff>209550</xdr:rowOff>
    </xdr:to>
    <xdr:sp macro="" textlink="">
      <xdr:nvSpPr>
        <xdr:cNvPr id="3579434" name="Freeform 1212"/>
        <xdr:cNvSpPr>
          <a:spLocks/>
        </xdr:cNvSpPr>
      </xdr:nvSpPr>
      <xdr:spPr bwMode="auto">
        <a:xfrm>
          <a:off x="2752725" y="13525500"/>
          <a:ext cx="9810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7</xdr:col>
      <xdr:colOff>47625</xdr:colOff>
      <xdr:row>68</xdr:row>
      <xdr:rowOff>28575</xdr:rowOff>
    </xdr:from>
    <xdr:to>
      <xdr:col>7</xdr:col>
      <xdr:colOff>238125</xdr:colOff>
      <xdr:row>69</xdr:row>
      <xdr:rowOff>0</xdr:rowOff>
    </xdr:to>
    <xdr:sp macro="" textlink="">
      <xdr:nvSpPr>
        <xdr:cNvPr id="3579435" name="Freeform 1213"/>
        <xdr:cNvSpPr>
          <a:spLocks/>
        </xdr:cNvSpPr>
      </xdr:nvSpPr>
      <xdr:spPr bwMode="auto">
        <a:xfrm>
          <a:off x="2857500" y="135921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7</xdr:col>
      <xdr:colOff>419100</xdr:colOff>
      <xdr:row>68</xdr:row>
      <xdr:rowOff>19050</xdr:rowOff>
    </xdr:from>
    <xdr:to>
      <xdr:col>7</xdr:col>
      <xdr:colOff>609600</xdr:colOff>
      <xdr:row>68</xdr:row>
      <xdr:rowOff>238125</xdr:rowOff>
    </xdr:to>
    <xdr:sp macro="" textlink="">
      <xdr:nvSpPr>
        <xdr:cNvPr id="3579436" name="Freeform 1214"/>
        <xdr:cNvSpPr>
          <a:spLocks/>
        </xdr:cNvSpPr>
      </xdr:nvSpPr>
      <xdr:spPr bwMode="auto">
        <a:xfrm>
          <a:off x="3228975" y="135826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5</xdr:col>
      <xdr:colOff>352425</xdr:colOff>
      <xdr:row>72</xdr:row>
      <xdr:rowOff>123825</xdr:rowOff>
    </xdr:from>
    <xdr:to>
      <xdr:col>7</xdr:col>
      <xdr:colOff>285750</xdr:colOff>
      <xdr:row>74</xdr:row>
      <xdr:rowOff>238125</xdr:rowOff>
    </xdr:to>
    <xdr:sp macro="" textlink="">
      <xdr:nvSpPr>
        <xdr:cNvPr id="3579437" name="Freeform 1215"/>
        <xdr:cNvSpPr>
          <a:spLocks/>
        </xdr:cNvSpPr>
      </xdr:nvSpPr>
      <xdr:spPr bwMode="auto">
        <a:xfrm>
          <a:off x="2514600" y="14678025"/>
          <a:ext cx="58102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800000"/>
        </a:solidFill>
        <a:ln w="9525">
          <a:solidFill>
            <a:srgbClr val="000000"/>
          </a:solidFill>
          <a:round/>
          <a:headEnd/>
          <a:tailEnd/>
        </a:ln>
      </xdr:spPr>
    </xdr:sp>
    <xdr:clientData/>
  </xdr:twoCellAnchor>
  <xdr:twoCellAnchor>
    <xdr:from>
      <xdr:col>7</xdr:col>
      <xdr:colOff>590550</xdr:colOff>
      <xdr:row>72</xdr:row>
      <xdr:rowOff>142875</xdr:rowOff>
    </xdr:from>
    <xdr:to>
      <xdr:col>9</xdr:col>
      <xdr:colOff>371475</xdr:colOff>
      <xdr:row>74</xdr:row>
      <xdr:rowOff>209550</xdr:rowOff>
    </xdr:to>
    <xdr:sp macro="" textlink="">
      <xdr:nvSpPr>
        <xdr:cNvPr id="3579438" name="Freeform 1216"/>
        <xdr:cNvSpPr>
          <a:spLocks/>
        </xdr:cNvSpPr>
      </xdr:nvSpPr>
      <xdr:spPr bwMode="auto">
        <a:xfrm>
          <a:off x="3400425" y="14697075"/>
          <a:ext cx="695325" cy="561975"/>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800000"/>
        </a:solidFill>
        <a:ln w="9525">
          <a:solidFill>
            <a:srgbClr val="000000"/>
          </a:solidFill>
          <a:round/>
          <a:headEnd/>
          <a:tailEnd/>
        </a:ln>
      </xdr:spPr>
    </xdr:sp>
    <xdr:clientData/>
  </xdr:twoCellAnchor>
  <xdr:twoCellAnchor>
    <xdr:from>
      <xdr:col>7</xdr:col>
      <xdr:colOff>114300</xdr:colOff>
      <xdr:row>70</xdr:row>
      <xdr:rowOff>95250</xdr:rowOff>
    </xdr:from>
    <xdr:to>
      <xdr:col>7</xdr:col>
      <xdr:colOff>266700</xdr:colOff>
      <xdr:row>71</xdr:row>
      <xdr:rowOff>104775</xdr:rowOff>
    </xdr:to>
    <xdr:sp macro="" textlink="">
      <xdr:nvSpPr>
        <xdr:cNvPr id="3579439" name="Oval 1217"/>
        <xdr:cNvSpPr>
          <a:spLocks noChangeArrowheads="1"/>
        </xdr:cNvSpPr>
      </xdr:nvSpPr>
      <xdr:spPr bwMode="auto">
        <a:xfrm>
          <a:off x="2924175" y="14154150"/>
          <a:ext cx="152400" cy="257175"/>
        </a:xfrm>
        <a:prstGeom prst="ellipse">
          <a:avLst/>
        </a:prstGeom>
        <a:solidFill>
          <a:srgbClr val="FFCC00"/>
        </a:solidFill>
        <a:ln w="9525">
          <a:solidFill>
            <a:srgbClr val="000000"/>
          </a:solidFill>
          <a:round/>
          <a:headEnd/>
          <a:tailEnd/>
        </a:ln>
      </xdr:spPr>
    </xdr:sp>
    <xdr:clientData/>
  </xdr:twoCellAnchor>
  <xdr:twoCellAnchor>
    <xdr:from>
      <xdr:col>7</xdr:col>
      <xdr:colOff>561975</xdr:colOff>
      <xdr:row>70</xdr:row>
      <xdr:rowOff>85725</xdr:rowOff>
    </xdr:from>
    <xdr:to>
      <xdr:col>8</xdr:col>
      <xdr:colOff>66675</xdr:colOff>
      <xdr:row>71</xdr:row>
      <xdr:rowOff>95250</xdr:rowOff>
    </xdr:to>
    <xdr:sp macro="" textlink="">
      <xdr:nvSpPr>
        <xdr:cNvPr id="3579440" name="Oval 1218"/>
        <xdr:cNvSpPr>
          <a:spLocks noChangeArrowheads="1"/>
        </xdr:cNvSpPr>
      </xdr:nvSpPr>
      <xdr:spPr bwMode="auto">
        <a:xfrm>
          <a:off x="3371850" y="14144625"/>
          <a:ext cx="152400" cy="257175"/>
        </a:xfrm>
        <a:prstGeom prst="ellipse">
          <a:avLst/>
        </a:prstGeom>
        <a:solidFill>
          <a:srgbClr val="FFCC00"/>
        </a:solidFill>
        <a:ln w="9525">
          <a:solidFill>
            <a:srgbClr val="000000"/>
          </a:solidFill>
          <a:round/>
          <a:headEnd/>
          <a:tailEnd/>
        </a:ln>
      </xdr:spPr>
    </xdr:sp>
    <xdr:clientData/>
  </xdr:twoCellAnchor>
  <xdr:twoCellAnchor>
    <xdr:from>
      <xdr:col>8</xdr:col>
      <xdr:colOff>228600</xdr:colOff>
      <xdr:row>60</xdr:row>
      <xdr:rowOff>114300</xdr:rowOff>
    </xdr:from>
    <xdr:to>
      <xdr:col>10</xdr:col>
      <xdr:colOff>28575</xdr:colOff>
      <xdr:row>67</xdr:row>
      <xdr:rowOff>142875</xdr:rowOff>
    </xdr:to>
    <xdr:sp macro="" textlink="">
      <xdr:nvSpPr>
        <xdr:cNvPr id="3579441" name="Freeform 1219"/>
        <xdr:cNvSpPr>
          <a:spLocks/>
        </xdr:cNvSpPr>
      </xdr:nvSpPr>
      <xdr:spPr bwMode="auto">
        <a:xfrm>
          <a:off x="3686175" y="11734800"/>
          <a:ext cx="46672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9</xdr:col>
      <xdr:colOff>28575</xdr:colOff>
      <xdr:row>66</xdr:row>
      <xdr:rowOff>180975</xdr:rowOff>
    </xdr:from>
    <xdr:to>
      <xdr:col>9</xdr:col>
      <xdr:colOff>342900</xdr:colOff>
      <xdr:row>74</xdr:row>
      <xdr:rowOff>0</xdr:rowOff>
    </xdr:to>
    <xdr:sp macro="" textlink="">
      <xdr:nvSpPr>
        <xdr:cNvPr id="3579442" name="Freeform 1220"/>
        <xdr:cNvSpPr>
          <a:spLocks/>
        </xdr:cNvSpPr>
      </xdr:nvSpPr>
      <xdr:spPr bwMode="auto">
        <a:xfrm>
          <a:off x="3752850" y="13230225"/>
          <a:ext cx="31432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3</xdr:col>
      <xdr:colOff>85725</xdr:colOff>
      <xdr:row>60</xdr:row>
      <xdr:rowOff>0</xdr:rowOff>
    </xdr:from>
    <xdr:to>
      <xdr:col>7</xdr:col>
      <xdr:colOff>19050</xdr:colOff>
      <xdr:row>66</xdr:row>
      <xdr:rowOff>142875</xdr:rowOff>
    </xdr:to>
    <xdr:sp macro="" textlink="">
      <xdr:nvSpPr>
        <xdr:cNvPr id="3579443" name="Freeform 1221"/>
        <xdr:cNvSpPr>
          <a:spLocks/>
        </xdr:cNvSpPr>
      </xdr:nvSpPr>
      <xdr:spPr bwMode="auto">
        <a:xfrm>
          <a:off x="1295400" y="11620500"/>
          <a:ext cx="153352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CC00"/>
        </a:solidFill>
        <a:ln w="9525">
          <a:solidFill>
            <a:srgbClr val="000000"/>
          </a:solidFill>
          <a:round/>
          <a:headEnd/>
          <a:tailEnd/>
        </a:ln>
      </xdr:spPr>
    </xdr:sp>
    <xdr:clientData/>
  </xdr:twoCellAnchor>
  <xdr:twoCellAnchor>
    <xdr:from>
      <xdr:col>2</xdr:col>
      <xdr:colOff>142875</xdr:colOff>
      <xdr:row>66</xdr:row>
      <xdr:rowOff>171450</xdr:rowOff>
    </xdr:from>
    <xdr:to>
      <xdr:col>5</xdr:col>
      <xdr:colOff>76200</xdr:colOff>
      <xdr:row>72</xdr:row>
      <xdr:rowOff>238125</xdr:rowOff>
    </xdr:to>
    <xdr:sp macro="" textlink="">
      <xdr:nvSpPr>
        <xdr:cNvPr id="3579444" name="Freeform 1222"/>
        <xdr:cNvSpPr>
          <a:spLocks/>
        </xdr:cNvSpPr>
      </xdr:nvSpPr>
      <xdr:spPr bwMode="auto">
        <a:xfrm>
          <a:off x="704850" y="13220700"/>
          <a:ext cx="153352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7</xdr:col>
      <xdr:colOff>38100</xdr:colOff>
      <xdr:row>58</xdr:row>
      <xdr:rowOff>219075</xdr:rowOff>
    </xdr:from>
    <xdr:to>
      <xdr:col>8</xdr:col>
      <xdr:colOff>28575</xdr:colOff>
      <xdr:row>61</xdr:row>
      <xdr:rowOff>9525</xdr:rowOff>
    </xdr:to>
    <xdr:sp macro="" textlink="">
      <xdr:nvSpPr>
        <xdr:cNvPr id="3579445" name="Freeform 1223"/>
        <xdr:cNvSpPr>
          <a:spLocks/>
        </xdr:cNvSpPr>
      </xdr:nvSpPr>
      <xdr:spPr bwMode="auto">
        <a:xfrm>
          <a:off x="2847975" y="11344275"/>
          <a:ext cx="638175" cy="533400"/>
        </a:xfrm>
        <a:custGeom>
          <a:avLst/>
          <a:gdLst>
            <a:gd name="T0" fmla="*/ 0 w 67"/>
            <a:gd name="T1" fmla="*/ 2147483647 h 56"/>
            <a:gd name="T2" fmla="*/ 2147483647 w 67"/>
            <a:gd name="T3" fmla="*/ 2147483647 h 56"/>
            <a:gd name="T4" fmla="*/ 2147483647 w 67"/>
            <a:gd name="T5" fmla="*/ 2147483647 h 56"/>
            <a:gd name="T6" fmla="*/ 2147483647 w 67"/>
            <a:gd name="T7" fmla="*/ 2147483647 h 56"/>
            <a:gd name="T8" fmla="*/ 2147483647 w 67"/>
            <a:gd name="T9" fmla="*/ 2147483647 h 56"/>
            <a:gd name="T10" fmla="*/ 2147483647 w 67"/>
            <a:gd name="T11" fmla="*/ 2147483647 h 56"/>
            <a:gd name="T12" fmla="*/ 2147483647 w 67"/>
            <a:gd name="T13" fmla="*/ 2147483647 h 56"/>
            <a:gd name="T14" fmla="*/ 2147483647 w 67"/>
            <a:gd name="T15" fmla="*/ 2147483647 h 56"/>
            <a:gd name="T16" fmla="*/ 2147483647 w 67"/>
            <a:gd name="T17" fmla="*/ 2147483647 h 56"/>
            <a:gd name="T18" fmla="*/ 2147483647 w 67"/>
            <a:gd name="T19" fmla="*/ 2147483647 h 56"/>
            <a:gd name="T20" fmla="*/ 2147483647 w 67"/>
            <a:gd name="T21" fmla="*/ 2147483647 h 56"/>
            <a:gd name="T22" fmla="*/ 0 w 67"/>
            <a:gd name="T23" fmla="*/ 2147483647 h 5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7"/>
            <a:gd name="T37" fmla="*/ 0 h 56"/>
            <a:gd name="T38" fmla="*/ 67 w 67"/>
            <a:gd name="T39" fmla="*/ 56 h 5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7" h="56">
              <a:moveTo>
                <a:pt x="0" y="55"/>
              </a:moveTo>
              <a:cubicBezTo>
                <a:pt x="3" y="47"/>
                <a:pt x="14" y="36"/>
                <a:pt x="20" y="30"/>
              </a:cubicBezTo>
              <a:cubicBezTo>
                <a:pt x="27" y="9"/>
                <a:pt x="31" y="4"/>
                <a:pt x="54" y="3"/>
              </a:cubicBezTo>
              <a:cubicBezTo>
                <a:pt x="56" y="2"/>
                <a:pt x="62" y="0"/>
                <a:pt x="64" y="3"/>
              </a:cubicBezTo>
              <a:cubicBezTo>
                <a:pt x="67" y="7"/>
                <a:pt x="54" y="12"/>
                <a:pt x="54" y="12"/>
              </a:cubicBezTo>
              <a:cubicBezTo>
                <a:pt x="52" y="19"/>
                <a:pt x="55" y="23"/>
                <a:pt x="57" y="29"/>
              </a:cubicBezTo>
              <a:cubicBezTo>
                <a:pt x="57" y="33"/>
                <a:pt x="62" y="51"/>
                <a:pt x="55" y="53"/>
              </a:cubicBezTo>
              <a:cubicBezTo>
                <a:pt x="47" y="52"/>
                <a:pt x="47" y="48"/>
                <a:pt x="40" y="46"/>
              </a:cubicBezTo>
              <a:cubicBezTo>
                <a:pt x="30" y="46"/>
                <a:pt x="21" y="46"/>
                <a:pt x="11" y="47"/>
              </a:cubicBezTo>
              <a:cubicBezTo>
                <a:pt x="10" y="47"/>
                <a:pt x="10" y="49"/>
                <a:pt x="9" y="50"/>
              </a:cubicBezTo>
              <a:cubicBezTo>
                <a:pt x="8" y="51"/>
                <a:pt x="7" y="51"/>
                <a:pt x="6" y="51"/>
              </a:cubicBezTo>
              <a:cubicBezTo>
                <a:pt x="3" y="56"/>
                <a:pt x="5" y="55"/>
                <a:pt x="0" y="55"/>
              </a:cubicBezTo>
              <a:close/>
            </a:path>
          </a:pathLst>
        </a:custGeom>
        <a:solidFill>
          <a:srgbClr val="00CCFF"/>
        </a:solidFill>
        <a:ln w="9525">
          <a:solidFill>
            <a:srgbClr val="000000"/>
          </a:solidFill>
          <a:round/>
          <a:headEnd/>
          <a:tailEnd/>
        </a:ln>
      </xdr:spPr>
    </xdr:sp>
    <xdr:clientData/>
  </xdr:twoCellAnchor>
  <xdr:twoCellAnchor>
    <xdr:from>
      <xdr:col>2</xdr:col>
      <xdr:colOff>161925</xdr:colOff>
      <xdr:row>59</xdr:row>
      <xdr:rowOff>133350</xdr:rowOff>
    </xdr:from>
    <xdr:to>
      <xdr:col>2</xdr:col>
      <xdr:colOff>561975</xdr:colOff>
      <xdr:row>60</xdr:row>
      <xdr:rowOff>209550</xdr:rowOff>
    </xdr:to>
    <xdr:sp macro="" textlink="">
      <xdr:nvSpPr>
        <xdr:cNvPr id="3579446" name="Freeform 1224"/>
        <xdr:cNvSpPr>
          <a:spLocks/>
        </xdr:cNvSpPr>
      </xdr:nvSpPr>
      <xdr:spPr bwMode="auto">
        <a:xfrm>
          <a:off x="723900" y="11506200"/>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xdr:col>
      <xdr:colOff>200025</xdr:colOff>
      <xdr:row>60</xdr:row>
      <xdr:rowOff>95250</xdr:rowOff>
    </xdr:from>
    <xdr:to>
      <xdr:col>3</xdr:col>
      <xdr:colOff>85725</xdr:colOff>
      <xdr:row>61</xdr:row>
      <xdr:rowOff>85725</xdr:rowOff>
    </xdr:to>
    <xdr:sp macro="" textlink="">
      <xdr:nvSpPr>
        <xdr:cNvPr id="3579447" name="AutoShape 1225"/>
        <xdr:cNvSpPr>
          <a:spLocks noChangeArrowheads="1"/>
        </xdr:cNvSpPr>
      </xdr:nvSpPr>
      <xdr:spPr bwMode="auto">
        <a:xfrm>
          <a:off x="495300" y="11715750"/>
          <a:ext cx="800100"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xdr:col>
      <xdr:colOff>85725</xdr:colOff>
      <xdr:row>72</xdr:row>
      <xdr:rowOff>180975</xdr:rowOff>
    </xdr:from>
    <xdr:to>
      <xdr:col>2</xdr:col>
      <xdr:colOff>104775</xdr:colOff>
      <xdr:row>74</xdr:row>
      <xdr:rowOff>95250</xdr:rowOff>
    </xdr:to>
    <xdr:sp macro="" textlink="">
      <xdr:nvSpPr>
        <xdr:cNvPr id="3579448" name="Freeform 1226"/>
        <xdr:cNvSpPr>
          <a:spLocks/>
        </xdr:cNvSpPr>
      </xdr:nvSpPr>
      <xdr:spPr bwMode="auto">
        <a:xfrm>
          <a:off x="381000" y="14735175"/>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3</xdr:col>
      <xdr:colOff>57150</xdr:colOff>
      <xdr:row>72</xdr:row>
      <xdr:rowOff>190500</xdr:rowOff>
    </xdr:from>
    <xdr:to>
      <xdr:col>4</xdr:col>
      <xdr:colOff>257175</xdr:colOff>
      <xdr:row>74</xdr:row>
      <xdr:rowOff>57150</xdr:rowOff>
    </xdr:to>
    <xdr:sp macro="" textlink="">
      <xdr:nvSpPr>
        <xdr:cNvPr id="3579449" name="Freeform 1227"/>
        <xdr:cNvSpPr>
          <a:spLocks/>
        </xdr:cNvSpPr>
      </xdr:nvSpPr>
      <xdr:spPr bwMode="auto">
        <a:xfrm>
          <a:off x="1266825" y="14744700"/>
          <a:ext cx="46672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11</xdr:col>
      <xdr:colOff>95250</xdr:colOff>
      <xdr:row>60</xdr:row>
      <xdr:rowOff>200025</xdr:rowOff>
    </xdr:from>
    <xdr:to>
      <xdr:col>11</xdr:col>
      <xdr:colOff>523875</xdr:colOff>
      <xdr:row>62</xdr:row>
      <xdr:rowOff>171450</xdr:rowOff>
    </xdr:to>
    <xdr:sp macro="" textlink="">
      <xdr:nvSpPr>
        <xdr:cNvPr id="3579450" name="Oval 1228"/>
        <xdr:cNvSpPr>
          <a:spLocks noChangeArrowheads="1"/>
        </xdr:cNvSpPr>
      </xdr:nvSpPr>
      <xdr:spPr bwMode="auto">
        <a:xfrm>
          <a:off x="4486275" y="11820525"/>
          <a:ext cx="428625" cy="466725"/>
        </a:xfrm>
        <a:prstGeom prst="ellipse">
          <a:avLst/>
        </a:prstGeom>
        <a:solidFill>
          <a:srgbClr val="FFFF00"/>
        </a:solidFill>
        <a:ln w="9525">
          <a:solidFill>
            <a:srgbClr val="000000"/>
          </a:solidFill>
          <a:round/>
          <a:headEnd/>
          <a:tailEnd/>
        </a:ln>
      </xdr:spPr>
    </xdr:sp>
    <xdr:clientData/>
  </xdr:twoCellAnchor>
  <xdr:twoCellAnchor>
    <xdr:from>
      <xdr:col>11</xdr:col>
      <xdr:colOff>238125</xdr:colOff>
      <xdr:row>62</xdr:row>
      <xdr:rowOff>171450</xdr:rowOff>
    </xdr:from>
    <xdr:to>
      <xdr:col>11</xdr:col>
      <xdr:colOff>419100</xdr:colOff>
      <xdr:row>64</xdr:row>
      <xdr:rowOff>0</xdr:rowOff>
    </xdr:to>
    <xdr:sp macro="" textlink="">
      <xdr:nvSpPr>
        <xdr:cNvPr id="3579451" name="Text Box 1229"/>
        <xdr:cNvSpPr txBox="1">
          <a:spLocks noChangeArrowheads="1"/>
        </xdr:cNvSpPr>
      </xdr:nvSpPr>
      <xdr:spPr bwMode="auto">
        <a:xfrm>
          <a:off x="4629150" y="12287250"/>
          <a:ext cx="180975" cy="152400"/>
        </a:xfrm>
        <a:prstGeom prst="rect">
          <a:avLst/>
        </a:prstGeom>
        <a:solidFill>
          <a:srgbClr val="FFFF00"/>
        </a:solidFill>
        <a:ln w="9525">
          <a:noFill/>
          <a:miter lim="800000"/>
          <a:headEnd/>
          <a:tailEnd/>
        </a:ln>
      </xdr:spPr>
    </xdr:sp>
    <xdr:clientData/>
  </xdr:twoCellAnchor>
  <xdr:twoCellAnchor>
    <xdr:from>
      <xdr:col>10</xdr:col>
      <xdr:colOff>19050</xdr:colOff>
      <xdr:row>62</xdr:row>
      <xdr:rowOff>142875</xdr:rowOff>
    </xdr:from>
    <xdr:to>
      <xdr:col>11</xdr:col>
      <xdr:colOff>276225</xdr:colOff>
      <xdr:row>64</xdr:row>
      <xdr:rowOff>28575</xdr:rowOff>
    </xdr:to>
    <xdr:sp macro="" textlink="">
      <xdr:nvSpPr>
        <xdr:cNvPr id="3579452" name="Freeform 1230"/>
        <xdr:cNvSpPr>
          <a:spLocks/>
        </xdr:cNvSpPr>
      </xdr:nvSpPr>
      <xdr:spPr bwMode="auto">
        <a:xfrm>
          <a:off x="4143375" y="12258675"/>
          <a:ext cx="523875" cy="20955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11</xdr:col>
      <xdr:colOff>409575</xdr:colOff>
      <xdr:row>62</xdr:row>
      <xdr:rowOff>161925</xdr:rowOff>
    </xdr:from>
    <xdr:to>
      <xdr:col>12</xdr:col>
      <xdr:colOff>295275</xdr:colOff>
      <xdr:row>64</xdr:row>
      <xdr:rowOff>9525</xdr:rowOff>
    </xdr:to>
    <xdr:sp macro="" textlink="">
      <xdr:nvSpPr>
        <xdr:cNvPr id="3579453" name="Freeform 1231"/>
        <xdr:cNvSpPr>
          <a:spLocks/>
        </xdr:cNvSpPr>
      </xdr:nvSpPr>
      <xdr:spPr bwMode="auto">
        <a:xfrm>
          <a:off x="4800600" y="12277725"/>
          <a:ext cx="54292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9</xdr:col>
      <xdr:colOff>171450</xdr:colOff>
      <xdr:row>63</xdr:row>
      <xdr:rowOff>38100</xdr:rowOff>
    </xdr:from>
    <xdr:to>
      <xdr:col>11</xdr:col>
      <xdr:colOff>0</xdr:colOff>
      <xdr:row>67</xdr:row>
      <xdr:rowOff>76200</xdr:rowOff>
    </xdr:to>
    <xdr:sp macro="" textlink="">
      <xdr:nvSpPr>
        <xdr:cNvPr id="3579454" name="Freeform 1232"/>
        <xdr:cNvSpPr>
          <a:spLocks/>
        </xdr:cNvSpPr>
      </xdr:nvSpPr>
      <xdr:spPr bwMode="auto">
        <a:xfrm>
          <a:off x="3895725" y="12401550"/>
          <a:ext cx="495300" cy="108585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FF0000"/>
        </a:solidFill>
        <a:ln w="9525">
          <a:solidFill>
            <a:srgbClr val="000000"/>
          </a:solidFill>
          <a:round/>
          <a:headEnd/>
          <a:tailEnd/>
        </a:ln>
      </xdr:spPr>
    </xdr:sp>
    <xdr:clientData/>
  </xdr:twoCellAnchor>
  <xdr:twoCellAnchor>
    <xdr:from>
      <xdr:col>10</xdr:col>
      <xdr:colOff>19050</xdr:colOff>
      <xdr:row>67</xdr:row>
      <xdr:rowOff>38100</xdr:rowOff>
    </xdr:from>
    <xdr:to>
      <xdr:col>10</xdr:col>
      <xdr:colOff>171450</xdr:colOff>
      <xdr:row>68</xdr:row>
      <xdr:rowOff>152400</xdr:rowOff>
    </xdr:to>
    <xdr:sp macro="" textlink="">
      <xdr:nvSpPr>
        <xdr:cNvPr id="3579455" name="Freeform 1233"/>
        <xdr:cNvSpPr>
          <a:spLocks/>
        </xdr:cNvSpPr>
      </xdr:nvSpPr>
      <xdr:spPr bwMode="auto">
        <a:xfrm>
          <a:off x="4143375" y="13449300"/>
          <a:ext cx="152400" cy="26670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11</xdr:col>
      <xdr:colOff>609600</xdr:colOff>
      <xdr:row>63</xdr:row>
      <xdr:rowOff>66675</xdr:rowOff>
    </xdr:from>
    <xdr:to>
      <xdr:col>13</xdr:col>
      <xdr:colOff>85725</xdr:colOff>
      <xdr:row>67</xdr:row>
      <xdr:rowOff>28575</xdr:rowOff>
    </xdr:to>
    <xdr:sp macro="" textlink="">
      <xdr:nvSpPr>
        <xdr:cNvPr id="3579456" name="Freeform 1234"/>
        <xdr:cNvSpPr>
          <a:spLocks/>
        </xdr:cNvSpPr>
      </xdr:nvSpPr>
      <xdr:spPr bwMode="auto">
        <a:xfrm>
          <a:off x="5000625" y="12430125"/>
          <a:ext cx="457200" cy="100965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FF0000"/>
        </a:solidFill>
        <a:ln w="9525">
          <a:solidFill>
            <a:srgbClr val="000000"/>
          </a:solidFill>
          <a:round/>
          <a:headEnd/>
          <a:tailEnd/>
        </a:ln>
      </xdr:spPr>
    </xdr:sp>
    <xdr:clientData/>
  </xdr:twoCellAnchor>
  <xdr:twoCellAnchor>
    <xdr:from>
      <xdr:col>10</xdr:col>
      <xdr:colOff>200025</xdr:colOff>
      <xdr:row>60</xdr:row>
      <xdr:rowOff>95250</xdr:rowOff>
    </xdr:from>
    <xdr:to>
      <xdr:col>12</xdr:col>
      <xdr:colOff>9525</xdr:colOff>
      <xdr:row>62</xdr:row>
      <xdr:rowOff>209550</xdr:rowOff>
    </xdr:to>
    <xdr:sp macro="" textlink="">
      <xdr:nvSpPr>
        <xdr:cNvPr id="3579457" name="Freeform 1235"/>
        <xdr:cNvSpPr>
          <a:spLocks/>
        </xdr:cNvSpPr>
      </xdr:nvSpPr>
      <xdr:spPr bwMode="auto">
        <a:xfrm>
          <a:off x="4324350" y="11715750"/>
          <a:ext cx="733425"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11</xdr:col>
      <xdr:colOff>200025</xdr:colOff>
      <xdr:row>61</xdr:row>
      <xdr:rowOff>104775</xdr:rowOff>
    </xdr:from>
    <xdr:to>
      <xdr:col>11</xdr:col>
      <xdr:colOff>266700</xdr:colOff>
      <xdr:row>61</xdr:row>
      <xdr:rowOff>228600</xdr:rowOff>
    </xdr:to>
    <xdr:sp macro="" textlink="">
      <xdr:nvSpPr>
        <xdr:cNvPr id="3579458" name="Freeform 1236"/>
        <xdr:cNvSpPr>
          <a:spLocks/>
        </xdr:cNvSpPr>
      </xdr:nvSpPr>
      <xdr:spPr bwMode="auto">
        <a:xfrm>
          <a:off x="4591050" y="1197292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352425</xdr:colOff>
      <xdr:row>61</xdr:row>
      <xdr:rowOff>104775</xdr:rowOff>
    </xdr:from>
    <xdr:to>
      <xdr:col>11</xdr:col>
      <xdr:colOff>419100</xdr:colOff>
      <xdr:row>61</xdr:row>
      <xdr:rowOff>228600</xdr:rowOff>
    </xdr:to>
    <xdr:sp macro="" textlink="">
      <xdr:nvSpPr>
        <xdr:cNvPr id="3579459" name="Freeform 1237"/>
        <xdr:cNvSpPr>
          <a:spLocks/>
        </xdr:cNvSpPr>
      </xdr:nvSpPr>
      <xdr:spPr bwMode="auto">
        <a:xfrm>
          <a:off x="4743450" y="1197292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171450</xdr:colOff>
      <xdr:row>61</xdr:row>
      <xdr:rowOff>76200</xdr:rowOff>
    </xdr:from>
    <xdr:to>
      <xdr:col>11</xdr:col>
      <xdr:colOff>266700</xdr:colOff>
      <xdr:row>61</xdr:row>
      <xdr:rowOff>114300</xdr:rowOff>
    </xdr:to>
    <xdr:sp macro="" textlink="">
      <xdr:nvSpPr>
        <xdr:cNvPr id="3579460" name="Freeform 1238"/>
        <xdr:cNvSpPr>
          <a:spLocks/>
        </xdr:cNvSpPr>
      </xdr:nvSpPr>
      <xdr:spPr bwMode="auto">
        <a:xfrm>
          <a:off x="4562475" y="1194435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11</xdr:col>
      <xdr:colOff>352425</xdr:colOff>
      <xdr:row>61</xdr:row>
      <xdr:rowOff>76200</xdr:rowOff>
    </xdr:from>
    <xdr:to>
      <xdr:col>11</xdr:col>
      <xdr:colOff>438150</xdr:colOff>
      <xdr:row>61</xdr:row>
      <xdr:rowOff>85725</xdr:rowOff>
    </xdr:to>
    <xdr:sp macro="" textlink="">
      <xdr:nvSpPr>
        <xdr:cNvPr id="3579461" name="Freeform 1239"/>
        <xdr:cNvSpPr>
          <a:spLocks/>
        </xdr:cNvSpPr>
      </xdr:nvSpPr>
      <xdr:spPr bwMode="auto">
        <a:xfrm>
          <a:off x="4743450" y="1194435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11</xdr:col>
      <xdr:colOff>247650</xdr:colOff>
      <xdr:row>62</xdr:row>
      <xdr:rowOff>66675</xdr:rowOff>
    </xdr:from>
    <xdr:to>
      <xdr:col>11</xdr:col>
      <xdr:colOff>409575</xdr:colOff>
      <xdr:row>62</xdr:row>
      <xdr:rowOff>114300</xdr:rowOff>
    </xdr:to>
    <xdr:sp macro="" textlink="">
      <xdr:nvSpPr>
        <xdr:cNvPr id="3579462" name="Freeform 1240"/>
        <xdr:cNvSpPr>
          <a:spLocks/>
        </xdr:cNvSpPr>
      </xdr:nvSpPr>
      <xdr:spPr bwMode="auto">
        <a:xfrm>
          <a:off x="4638675" y="1218247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11</xdr:col>
      <xdr:colOff>295275</xdr:colOff>
      <xdr:row>61</xdr:row>
      <xdr:rowOff>200025</xdr:rowOff>
    </xdr:from>
    <xdr:to>
      <xdr:col>11</xdr:col>
      <xdr:colOff>323850</xdr:colOff>
      <xdr:row>62</xdr:row>
      <xdr:rowOff>104775</xdr:rowOff>
    </xdr:to>
    <xdr:sp macro="" textlink="">
      <xdr:nvSpPr>
        <xdr:cNvPr id="3579463" name="Freeform 1241"/>
        <xdr:cNvSpPr>
          <a:spLocks/>
        </xdr:cNvSpPr>
      </xdr:nvSpPr>
      <xdr:spPr bwMode="auto">
        <a:xfrm>
          <a:off x="4686300" y="1206817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12</xdr:col>
      <xdr:colOff>95250</xdr:colOff>
      <xdr:row>66</xdr:row>
      <xdr:rowOff>352425</xdr:rowOff>
    </xdr:from>
    <xdr:to>
      <xdr:col>13</xdr:col>
      <xdr:colOff>114300</xdr:colOff>
      <xdr:row>68</xdr:row>
      <xdr:rowOff>114300</xdr:rowOff>
    </xdr:to>
    <xdr:sp macro="" textlink="">
      <xdr:nvSpPr>
        <xdr:cNvPr id="3579464" name="Freeform 1242"/>
        <xdr:cNvSpPr>
          <a:spLocks/>
        </xdr:cNvSpPr>
      </xdr:nvSpPr>
      <xdr:spPr bwMode="auto">
        <a:xfrm>
          <a:off x="5143500" y="13401675"/>
          <a:ext cx="342900" cy="27622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11</xdr:col>
      <xdr:colOff>209550</xdr:colOff>
      <xdr:row>61</xdr:row>
      <xdr:rowOff>123825</xdr:rowOff>
    </xdr:from>
    <xdr:to>
      <xdr:col>11</xdr:col>
      <xdr:colOff>304800</xdr:colOff>
      <xdr:row>61</xdr:row>
      <xdr:rowOff>200025</xdr:rowOff>
    </xdr:to>
    <xdr:sp macro="" textlink="">
      <xdr:nvSpPr>
        <xdr:cNvPr id="3579465" name="Freeform 1243"/>
        <xdr:cNvSpPr>
          <a:spLocks/>
        </xdr:cNvSpPr>
      </xdr:nvSpPr>
      <xdr:spPr bwMode="auto">
        <a:xfrm>
          <a:off x="4600575" y="1199197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11</xdr:col>
      <xdr:colOff>361950</xdr:colOff>
      <xdr:row>61</xdr:row>
      <xdr:rowOff>133350</xdr:rowOff>
    </xdr:from>
    <xdr:to>
      <xdr:col>11</xdr:col>
      <xdr:colOff>457200</xdr:colOff>
      <xdr:row>61</xdr:row>
      <xdr:rowOff>209550</xdr:rowOff>
    </xdr:to>
    <xdr:sp macro="" textlink="">
      <xdr:nvSpPr>
        <xdr:cNvPr id="3579466" name="Freeform 1244"/>
        <xdr:cNvSpPr>
          <a:spLocks/>
        </xdr:cNvSpPr>
      </xdr:nvSpPr>
      <xdr:spPr bwMode="auto">
        <a:xfrm>
          <a:off x="4752975" y="1200150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10</xdr:col>
      <xdr:colOff>209550</xdr:colOff>
      <xdr:row>67</xdr:row>
      <xdr:rowOff>114300</xdr:rowOff>
    </xdr:from>
    <xdr:to>
      <xdr:col>13</xdr:col>
      <xdr:colOff>9525</xdr:colOff>
      <xdr:row>72</xdr:row>
      <xdr:rowOff>209550</xdr:rowOff>
    </xdr:to>
    <xdr:sp macro="" textlink="">
      <xdr:nvSpPr>
        <xdr:cNvPr id="3579467" name="Freeform 1245"/>
        <xdr:cNvSpPr>
          <a:spLocks/>
        </xdr:cNvSpPr>
      </xdr:nvSpPr>
      <xdr:spPr bwMode="auto">
        <a:xfrm>
          <a:off x="4333875" y="13525500"/>
          <a:ext cx="1047750"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00CCFF"/>
        </a:solidFill>
        <a:ln w="9525">
          <a:solidFill>
            <a:srgbClr val="000000"/>
          </a:solidFill>
          <a:round/>
          <a:headEnd/>
          <a:tailEnd/>
        </a:ln>
      </xdr:spPr>
    </xdr:sp>
    <xdr:clientData/>
  </xdr:twoCellAnchor>
  <xdr:twoCellAnchor>
    <xdr:from>
      <xdr:col>11</xdr:col>
      <xdr:colOff>47625</xdr:colOff>
      <xdr:row>68</xdr:row>
      <xdr:rowOff>28575</xdr:rowOff>
    </xdr:from>
    <xdr:to>
      <xdr:col>11</xdr:col>
      <xdr:colOff>238125</xdr:colOff>
      <xdr:row>69</xdr:row>
      <xdr:rowOff>0</xdr:rowOff>
    </xdr:to>
    <xdr:sp macro="" textlink="">
      <xdr:nvSpPr>
        <xdr:cNvPr id="3579468" name="Freeform 1246"/>
        <xdr:cNvSpPr>
          <a:spLocks/>
        </xdr:cNvSpPr>
      </xdr:nvSpPr>
      <xdr:spPr bwMode="auto">
        <a:xfrm>
          <a:off x="4438650" y="135921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11</xdr:col>
      <xdr:colOff>419100</xdr:colOff>
      <xdr:row>68</xdr:row>
      <xdr:rowOff>19050</xdr:rowOff>
    </xdr:from>
    <xdr:to>
      <xdr:col>11</xdr:col>
      <xdr:colOff>609600</xdr:colOff>
      <xdr:row>68</xdr:row>
      <xdr:rowOff>238125</xdr:rowOff>
    </xdr:to>
    <xdr:sp macro="" textlink="">
      <xdr:nvSpPr>
        <xdr:cNvPr id="3579469" name="Freeform 1247"/>
        <xdr:cNvSpPr>
          <a:spLocks/>
        </xdr:cNvSpPr>
      </xdr:nvSpPr>
      <xdr:spPr bwMode="auto">
        <a:xfrm>
          <a:off x="4810125" y="135826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9</xdr:col>
      <xdr:colOff>352425</xdr:colOff>
      <xdr:row>72</xdr:row>
      <xdr:rowOff>123825</xdr:rowOff>
    </xdr:from>
    <xdr:to>
      <xdr:col>11</xdr:col>
      <xdr:colOff>285750</xdr:colOff>
      <xdr:row>74</xdr:row>
      <xdr:rowOff>238125</xdr:rowOff>
    </xdr:to>
    <xdr:sp macro="" textlink="">
      <xdr:nvSpPr>
        <xdr:cNvPr id="3579470" name="Freeform 1248"/>
        <xdr:cNvSpPr>
          <a:spLocks/>
        </xdr:cNvSpPr>
      </xdr:nvSpPr>
      <xdr:spPr bwMode="auto">
        <a:xfrm>
          <a:off x="4076700" y="14678025"/>
          <a:ext cx="60007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99CC00"/>
        </a:solidFill>
        <a:ln w="9525">
          <a:solidFill>
            <a:srgbClr val="000000"/>
          </a:solidFill>
          <a:round/>
          <a:headEnd/>
          <a:tailEnd/>
        </a:ln>
      </xdr:spPr>
    </xdr:sp>
    <xdr:clientData/>
  </xdr:twoCellAnchor>
  <xdr:twoCellAnchor>
    <xdr:from>
      <xdr:col>11</xdr:col>
      <xdr:colOff>590550</xdr:colOff>
      <xdr:row>72</xdr:row>
      <xdr:rowOff>171450</xdr:rowOff>
    </xdr:from>
    <xdr:to>
      <xdr:col>13</xdr:col>
      <xdr:colOff>371475</xdr:colOff>
      <xdr:row>74</xdr:row>
      <xdr:rowOff>209550</xdr:rowOff>
    </xdr:to>
    <xdr:sp macro="" textlink="">
      <xdr:nvSpPr>
        <xdr:cNvPr id="3579471" name="Freeform 1249"/>
        <xdr:cNvSpPr>
          <a:spLocks/>
        </xdr:cNvSpPr>
      </xdr:nvSpPr>
      <xdr:spPr bwMode="auto">
        <a:xfrm>
          <a:off x="4981575" y="14725650"/>
          <a:ext cx="762000"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99CC00"/>
        </a:solidFill>
        <a:ln w="9525">
          <a:solidFill>
            <a:srgbClr val="000000"/>
          </a:solidFill>
          <a:round/>
          <a:headEnd/>
          <a:tailEnd/>
        </a:ln>
      </xdr:spPr>
    </xdr:sp>
    <xdr:clientData/>
  </xdr:twoCellAnchor>
  <xdr:twoCellAnchor>
    <xdr:from>
      <xdr:col>11</xdr:col>
      <xdr:colOff>114300</xdr:colOff>
      <xdr:row>70</xdr:row>
      <xdr:rowOff>95250</xdr:rowOff>
    </xdr:from>
    <xdr:to>
      <xdr:col>11</xdr:col>
      <xdr:colOff>266700</xdr:colOff>
      <xdr:row>71</xdr:row>
      <xdr:rowOff>104775</xdr:rowOff>
    </xdr:to>
    <xdr:sp macro="" textlink="">
      <xdr:nvSpPr>
        <xdr:cNvPr id="3579472" name="Oval 1250"/>
        <xdr:cNvSpPr>
          <a:spLocks noChangeArrowheads="1"/>
        </xdr:cNvSpPr>
      </xdr:nvSpPr>
      <xdr:spPr bwMode="auto">
        <a:xfrm>
          <a:off x="4505325" y="14154150"/>
          <a:ext cx="152400" cy="257175"/>
        </a:xfrm>
        <a:prstGeom prst="ellipse">
          <a:avLst/>
        </a:prstGeom>
        <a:solidFill>
          <a:srgbClr val="FFCC00"/>
        </a:solidFill>
        <a:ln w="9525">
          <a:solidFill>
            <a:srgbClr val="000000"/>
          </a:solidFill>
          <a:round/>
          <a:headEnd/>
          <a:tailEnd/>
        </a:ln>
      </xdr:spPr>
    </xdr:sp>
    <xdr:clientData/>
  </xdr:twoCellAnchor>
  <xdr:twoCellAnchor>
    <xdr:from>
      <xdr:col>11</xdr:col>
      <xdr:colOff>561975</xdr:colOff>
      <xdr:row>70</xdr:row>
      <xdr:rowOff>85725</xdr:rowOff>
    </xdr:from>
    <xdr:to>
      <xdr:col>12</xdr:col>
      <xdr:colOff>66675</xdr:colOff>
      <xdr:row>71</xdr:row>
      <xdr:rowOff>95250</xdr:rowOff>
    </xdr:to>
    <xdr:sp macro="" textlink="">
      <xdr:nvSpPr>
        <xdr:cNvPr id="3579473" name="Oval 1251"/>
        <xdr:cNvSpPr>
          <a:spLocks noChangeArrowheads="1"/>
        </xdr:cNvSpPr>
      </xdr:nvSpPr>
      <xdr:spPr bwMode="auto">
        <a:xfrm>
          <a:off x="4953000" y="14144625"/>
          <a:ext cx="161925" cy="257175"/>
        </a:xfrm>
        <a:prstGeom prst="ellipse">
          <a:avLst/>
        </a:prstGeom>
        <a:solidFill>
          <a:srgbClr val="FFCC00"/>
        </a:solidFill>
        <a:ln w="9525">
          <a:solidFill>
            <a:srgbClr val="000000"/>
          </a:solidFill>
          <a:round/>
          <a:headEnd/>
          <a:tailEnd/>
        </a:ln>
      </xdr:spPr>
    </xdr:sp>
    <xdr:clientData/>
  </xdr:twoCellAnchor>
  <xdr:twoCellAnchor>
    <xdr:from>
      <xdr:col>13</xdr:col>
      <xdr:colOff>200025</xdr:colOff>
      <xdr:row>60</xdr:row>
      <xdr:rowOff>114300</xdr:rowOff>
    </xdr:from>
    <xdr:to>
      <xdr:col>14</xdr:col>
      <xdr:colOff>304800</xdr:colOff>
      <xdr:row>67</xdr:row>
      <xdr:rowOff>142875</xdr:rowOff>
    </xdr:to>
    <xdr:sp macro="" textlink="">
      <xdr:nvSpPr>
        <xdr:cNvPr id="3579474" name="Freeform 1252"/>
        <xdr:cNvSpPr>
          <a:spLocks/>
        </xdr:cNvSpPr>
      </xdr:nvSpPr>
      <xdr:spPr bwMode="auto">
        <a:xfrm>
          <a:off x="5572125" y="11734800"/>
          <a:ext cx="7905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13</xdr:col>
      <xdr:colOff>352425</xdr:colOff>
      <xdr:row>61</xdr:row>
      <xdr:rowOff>19050</xdr:rowOff>
    </xdr:from>
    <xdr:to>
      <xdr:col>14</xdr:col>
      <xdr:colOff>457200</xdr:colOff>
      <xdr:row>68</xdr:row>
      <xdr:rowOff>142875</xdr:rowOff>
    </xdr:to>
    <xdr:sp macro="" textlink="">
      <xdr:nvSpPr>
        <xdr:cNvPr id="3579475" name="Freeform 1253"/>
        <xdr:cNvSpPr>
          <a:spLocks/>
        </xdr:cNvSpPr>
      </xdr:nvSpPr>
      <xdr:spPr bwMode="auto">
        <a:xfrm>
          <a:off x="5724525" y="11887200"/>
          <a:ext cx="79057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11</xdr:col>
      <xdr:colOff>142875</xdr:colOff>
      <xdr:row>66</xdr:row>
      <xdr:rowOff>171450</xdr:rowOff>
    </xdr:from>
    <xdr:to>
      <xdr:col>14</xdr:col>
      <xdr:colOff>76200</xdr:colOff>
      <xdr:row>72</xdr:row>
      <xdr:rowOff>238125</xdr:rowOff>
    </xdr:to>
    <xdr:sp macro="" textlink="">
      <xdr:nvSpPr>
        <xdr:cNvPr id="3579476" name="Freeform 1254"/>
        <xdr:cNvSpPr>
          <a:spLocks/>
        </xdr:cNvSpPr>
      </xdr:nvSpPr>
      <xdr:spPr bwMode="auto">
        <a:xfrm>
          <a:off x="4533900" y="13220700"/>
          <a:ext cx="1600200"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11</xdr:col>
      <xdr:colOff>161925</xdr:colOff>
      <xdr:row>59</xdr:row>
      <xdr:rowOff>133350</xdr:rowOff>
    </xdr:from>
    <xdr:to>
      <xdr:col>11</xdr:col>
      <xdr:colOff>561975</xdr:colOff>
      <xdr:row>60</xdr:row>
      <xdr:rowOff>209550</xdr:rowOff>
    </xdr:to>
    <xdr:sp macro="" textlink="">
      <xdr:nvSpPr>
        <xdr:cNvPr id="3579477" name="Freeform 1255"/>
        <xdr:cNvSpPr>
          <a:spLocks/>
        </xdr:cNvSpPr>
      </xdr:nvSpPr>
      <xdr:spPr bwMode="auto">
        <a:xfrm>
          <a:off x="4552950" y="11506200"/>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10</xdr:col>
      <xdr:colOff>200025</xdr:colOff>
      <xdr:row>60</xdr:row>
      <xdr:rowOff>95250</xdr:rowOff>
    </xdr:from>
    <xdr:to>
      <xdr:col>12</xdr:col>
      <xdr:colOff>85725</xdr:colOff>
      <xdr:row>61</xdr:row>
      <xdr:rowOff>85725</xdr:rowOff>
    </xdr:to>
    <xdr:sp macro="" textlink="">
      <xdr:nvSpPr>
        <xdr:cNvPr id="3579478" name="AutoShape 1256"/>
        <xdr:cNvSpPr>
          <a:spLocks noChangeArrowheads="1"/>
        </xdr:cNvSpPr>
      </xdr:nvSpPr>
      <xdr:spPr bwMode="auto">
        <a:xfrm>
          <a:off x="4324350" y="11715750"/>
          <a:ext cx="809625"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10</xdr:col>
      <xdr:colOff>85725</xdr:colOff>
      <xdr:row>72</xdr:row>
      <xdr:rowOff>180975</xdr:rowOff>
    </xdr:from>
    <xdr:to>
      <xdr:col>11</xdr:col>
      <xdr:colOff>104775</xdr:colOff>
      <xdr:row>74</xdr:row>
      <xdr:rowOff>95250</xdr:rowOff>
    </xdr:to>
    <xdr:sp macro="" textlink="">
      <xdr:nvSpPr>
        <xdr:cNvPr id="3579479" name="Freeform 1257"/>
        <xdr:cNvSpPr>
          <a:spLocks/>
        </xdr:cNvSpPr>
      </xdr:nvSpPr>
      <xdr:spPr bwMode="auto">
        <a:xfrm>
          <a:off x="4210050" y="14735175"/>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12</xdr:col>
      <xdr:colOff>57150</xdr:colOff>
      <xdr:row>72</xdr:row>
      <xdr:rowOff>190500</xdr:rowOff>
    </xdr:from>
    <xdr:to>
      <xdr:col>13</xdr:col>
      <xdr:colOff>257175</xdr:colOff>
      <xdr:row>74</xdr:row>
      <xdr:rowOff>57150</xdr:rowOff>
    </xdr:to>
    <xdr:sp macro="" textlink="">
      <xdr:nvSpPr>
        <xdr:cNvPr id="3579480" name="Freeform 1258"/>
        <xdr:cNvSpPr>
          <a:spLocks/>
        </xdr:cNvSpPr>
      </xdr:nvSpPr>
      <xdr:spPr bwMode="auto">
        <a:xfrm>
          <a:off x="5105400" y="14744700"/>
          <a:ext cx="52387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8</xdr:col>
      <xdr:colOff>0</xdr:colOff>
      <xdr:row>64</xdr:row>
      <xdr:rowOff>28575</xdr:rowOff>
    </xdr:from>
    <xdr:to>
      <xdr:col>9</xdr:col>
      <xdr:colOff>76200</xdr:colOff>
      <xdr:row>67</xdr:row>
      <xdr:rowOff>19050</xdr:rowOff>
    </xdr:to>
    <xdr:sp macro="" textlink="">
      <xdr:nvSpPr>
        <xdr:cNvPr id="3579481" name="Freeform 1259"/>
        <xdr:cNvSpPr>
          <a:spLocks/>
        </xdr:cNvSpPr>
      </xdr:nvSpPr>
      <xdr:spPr bwMode="auto">
        <a:xfrm>
          <a:off x="3457575" y="12468225"/>
          <a:ext cx="342900" cy="962025"/>
        </a:xfrm>
        <a:custGeom>
          <a:avLst/>
          <a:gdLst>
            <a:gd name="T0" fmla="*/ 2147483647 w 36"/>
            <a:gd name="T1" fmla="*/ 0 h 101"/>
            <a:gd name="T2" fmla="*/ 2147483647 w 36"/>
            <a:gd name="T3" fmla="*/ 2147483647 h 101"/>
            <a:gd name="T4" fmla="*/ 2147483647 w 36"/>
            <a:gd name="T5" fmla="*/ 2147483647 h 101"/>
            <a:gd name="T6" fmla="*/ 2147483647 w 36"/>
            <a:gd name="T7" fmla="*/ 2147483647 h 101"/>
            <a:gd name="T8" fmla="*/ 2147483647 w 36"/>
            <a:gd name="T9" fmla="*/ 2147483647 h 101"/>
            <a:gd name="T10" fmla="*/ 2147483647 w 36"/>
            <a:gd name="T11" fmla="*/ 2147483647 h 101"/>
            <a:gd name="T12" fmla="*/ 2147483647 w 36"/>
            <a:gd name="T13" fmla="*/ 2147483647 h 101"/>
            <a:gd name="T14" fmla="*/ 0 w 36"/>
            <a:gd name="T15" fmla="*/ 2147483647 h 101"/>
            <a:gd name="T16" fmla="*/ 0 60000 65536"/>
            <a:gd name="T17" fmla="*/ 0 60000 65536"/>
            <a:gd name="T18" fmla="*/ 0 60000 65536"/>
            <a:gd name="T19" fmla="*/ 0 60000 65536"/>
            <a:gd name="T20" fmla="*/ 0 60000 65536"/>
            <a:gd name="T21" fmla="*/ 0 60000 65536"/>
            <a:gd name="T22" fmla="*/ 0 60000 65536"/>
            <a:gd name="T23" fmla="*/ 0 60000 65536"/>
            <a:gd name="T24" fmla="*/ 0 w 36"/>
            <a:gd name="T25" fmla="*/ 0 h 101"/>
            <a:gd name="T26" fmla="*/ 36 w 36"/>
            <a:gd name="T27" fmla="*/ 101 h 10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6" h="101">
              <a:moveTo>
                <a:pt x="28" y="0"/>
              </a:moveTo>
              <a:cubicBezTo>
                <a:pt x="29" y="7"/>
                <a:pt x="29" y="11"/>
                <a:pt x="31" y="17"/>
              </a:cubicBezTo>
              <a:cubicBezTo>
                <a:pt x="32" y="25"/>
                <a:pt x="36" y="30"/>
                <a:pt x="28" y="28"/>
              </a:cubicBezTo>
              <a:cubicBezTo>
                <a:pt x="26" y="21"/>
                <a:pt x="26" y="42"/>
                <a:pt x="23" y="47"/>
              </a:cubicBezTo>
              <a:cubicBezTo>
                <a:pt x="21" y="55"/>
                <a:pt x="23" y="62"/>
                <a:pt x="25" y="70"/>
              </a:cubicBezTo>
              <a:cubicBezTo>
                <a:pt x="26" y="80"/>
                <a:pt x="28" y="86"/>
                <a:pt x="30" y="95"/>
              </a:cubicBezTo>
              <a:cubicBezTo>
                <a:pt x="22" y="101"/>
                <a:pt x="15" y="99"/>
                <a:pt x="5" y="98"/>
              </a:cubicBezTo>
              <a:cubicBezTo>
                <a:pt x="3" y="72"/>
                <a:pt x="0" y="50"/>
                <a:pt x="0" y="23"/>
              </a:cubicBezTo>
            </a:path>
          </a:pathLst>
        </a:custGeom>
        <a:solidFill>
          <a:srgbClr val="00FF00"/>
        </a:solidFill>
        <a:ln w="9525">
          <a:solidFill>
            <a:srgbClr val="000000"/>
          </a:solidFill>
          <a:round/>
          <a:headEnd/>
          <a:tailEnd/>
        </a:ln>
      </xdr:spPr>
    </xdr:sp>
    <xdr:clientData/>
  </xdr:twoCellAnchor>
  <xdr:twoCellAnchor>
    <xdr:from>
      <xdr:col>2</xdr:col>
      <xdr:colOff>342900</xdr:colOff>
      <xdr:row>74</xdr:row>
      <xdr:rowOff>200025</xdr:rowOff>
    </xdr:from>
    <xdr:to>
      <xdr:col>12</xdr:col>
      <xdr:colOff>180975</xdr:colOff>
      <xdr:row>76</xdr:row>
      <xdr:rowOff>28575</xdr:rowOff>
    </xdr:to>
    <xdr:sp macro="" textlink="">
      <xdr:nvSpPr>
        <xdr:cNvPr id="3579482" name="Freeform 1260"/>
        <xdr:cNvSpPr>
          <a:spLocks/>
        </xdr:cNvSpPr>
      </xdr:nvSpPr>
      <xdr:spPr bwMode="auto">
        <a:xfrm>
          <a:off x="904875" y="15249525"/>
          <a:ext cx="4324350" cy="323850"/>
        </a:xfrm>
        <a:custGeom>
          <a:avLst/>
          <a:gdLst>
            <a:gd name="T0" fmla="*/ 0 w 454"/>
            <a:gd name="T1" fmla="*/ 2147483647 h 34"/>
            <a:gd name="T2" fmla="*/ 2147483647 w 454"/>
            <a:gd name="T3" fmla="*/ 2147483647 h 34"/>
            <a:gd name="T4" fmla="*/ 2147483647 w 454"/>
            <a:gd name="T5" fmla="*/ 2147483647 h 34"/>
            <a:gd name="T6" fmla="*/ 2147483647 w 454"/>
            <a:gd name="T7" fmla="*/ 2147483647 h 34"/>
            <a:gd name="T8" fmla="*/ 2147483647 w 454"/>
            <a:gd name="T9" fmla="*/ 2147483647 h 34"/>
            <a:gd name="T10" fmla="*/ 2147483647 w 454"/>
            <a:gd name="T11" fmla="*/ 0 h 34"/>
            <a:gd name="T12" fmla="*/ 2147483647 w 454"/>
            <a:gd name="T13" fmla="*/ 2147483647 h 34"/>
            <a:gd name="T14" fmla="*/ 2147483647 w 454"/>
            <a:gd name="T15" fmla="*/ 2147483647 h 34"/>
            <a:gd name="T16" fmla="*/ 2147483647 w 454"/>
            <a:gd name="T17" fmla="*/ 2147483647 h 34"/>
            <a:gd name="T18" fmla="*/ 2147483647 w 454"/>
            <a:gd name="T19" fmla="*/ 2147483647 h 34"/>
            <a:gd name="T20" fmla="*/ 2147483647 w 454"/>
            <a:gd name="T21" fmla="*/ 2147483647 h 34"/>
            <a:gd name="T22" fmla="*/ 2147483647 w 454"/>
            <a:gd name="T23" fmla="*/ 2147483647 h 34"/>
            <a:gd name="T24" fmla="*/ 2147483647 w 454"/>
            <a:gd name="T25" fmla="*/ 2147483647 h 34"/>
            <a:gd name="T26" fmla="*/ 2147483647 w 454"/>
            <a:gd name="T27" fmla="*/ 2147483647 h 34"/>
            <a:gd name="T28" fmla="*/ 2147483647 w 454"/>
            <a:gd name="T29" fmla="*/ 2147483647 h 34"/>
            <a:gd name="T30" fmla="*/ 2147483647 w 454"/>
            <a:gd name="T31" fmla="*/ 2147483647 h 34"/>
            <a:gd name="T32" fmla="*/ 2147483647 w 454"/>
            <a:gd name="T33" fmla="*/ 2147483647 h 34"/>
            <a:gd name="T34" fmla="*/ 2147483647 w 454"/>
            <a:gd name="T35" fmla="*/ 2147483647 h 34"/>
            <a:gd name="T36" fmla="*/ 2147483647 w 454"/>
            <a:gd name="T37" fmla="*/ 2147483647 h 34"/>
            <a:gd name="T38" fmla="*/ 2147483647 w 454"/>
            <a:gd name="T39" fmla="*/ 2147483647 h 34"/>
            <a:gd name="T40" fmla="*/ 2147483647 w 454"/>
            <a:gd name="T41" fmla="*/ 2147483647 h 34"/>
            <a:gd name="T42" fmla="*/ 2147483647 w 454"/>
            <a:gd name="T43" fmla="*/ 2147483647 h 34"/>
            <a:gd name="T44" fmla="*/ 2147483647 w 454"/>
            <a:gd name="T45" fmla="*/ 2147483647 h 34"/>
            <a:gd name="T46" fmla="*/ 2147483647 w 454"/>
            <a:gd name="T47" fmla="*/ 2147483647 h 34"/>
            <a:gd name="T48" fmla="*/ 2147483647 w 454"/>
            <a:gd name="T49" fmla="*/ 2147483647 h 34"/>
            <a:gd name="T50" fmla="*/ 2147483647 w 454"/>
            <a:gd name="T51" fmla="*/ 2147483647 h 34"/>
            <a:gd name="T52" fmla="*/ 0 w 454"/>
            <a:gd name="T53" fmla="*/ 2147483647 h 3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454"/>
            <a:gd name="T82" fmla="*/ 0 h 34"/>
            <a:gd name="T83" fmla="*/ 454 w 454"/>
            <a:gd name="T84" fmla="*/ 34 h 34"/>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454" h="34">
              <a:moveTo>
                <a:pt x="0" y="25"/>
              </a:moveTo>
              <a:cubicBezTo>
                <a:pt x="4" y="17"/>
                <a:pt x="8" y="11"/>
                <a:pt x="17" y="9"/>
              </a:cubicBezTo>
              <a:cubicBezTo>
                <a:pt x="68" y="10"/>
                <a:pt x="49" y="6"/>
                <a:pt x="73" y="12"/>
              </a:cubicBezTo>
              <a:cubicBezTo>
                <a:pt x="81" y="14"/>
                <a:pt x="97" y="21"/>
                <a:pt x="97" y="21"/>
              </a:cubicBezTo>
              <a:cubicBezTo>
                <a:pt x="109" y="21"/>
                <a:pt x="121" y="22"/>
                <a:pt x="133" y="20"/>
              </a:cubicBezTo>
              <a:cubicBezTo>
                <a:pt x="138" y="19"/>
                <a:pt x="149" y="2"/>
                <a:pt x="159" y="0"/>
              </a:cubicBezTo>
              <a:cubicBezTo>
                <a:pt x="182" y="2"/>
                <a:pt x="181" y="9"/>
                <a:pt x="199" y="17"/>
              </a:cubicBezTo>
              <a:cubicBezTo>
                <a:pt x="217" y="25"/>
                <a:pt x="238" y="27"/>
                <a:pt x="257" y="28"/>
              </a:cubicBezTo>
              <a:cubicBezTo>
                <a:pt x="271" y="32"/>
                <a:pt x="320" y="27"/>
                <a:pt x="325" y="27"/>
              </a:cubicBezTo>
              <a:cubicBezTo>
                <a:pt x="329" y="26"/>
                <a:pt x="337" y="24"/>
                <a:pt x="337" y="24"/>
              </a:cubicBezTo>
              <a:cubicBezTo>
                <a:pt x="348" y="13"/>
                <a:pt x="358" y="7"/>
                <a:pt x="373" y="5"/>
              </a:cubicBezTo>
              <a:cubicBezTo>
                <a:pt x="412" y="6"/>
                <a:pt x="424" y="6"/>
                <a:pt x="454" y="16"/>
              </a:cubicBezTo>
              <a:cubicBezTo>
                <a:pt x="447" y="18"/>
                <a:pt x="445" y="19"/>
                <a:pt x="436" y="15"/>
              </a:cubicBezTo>
              <a:cubicBezTo>
                <a:pt x="433" y="14"/>
                <a:pt x="430" y="9"/>
                <a:pt x="430" y="9"/>
              </a:cubicBezTo>
              <a:cubicBezTo>
                <a:pt x="405" y="9"/>
                <a:pt x="380" y="9"/>
                <a:pt x="355" y="10"/>
              </a:cubicBezTo>
              <a:cubicBezTo>
                <a:pt x="354" y="10"/>
                <a:pt x="347" y="23"/>
                <a:pt x="343" y="24"/>
              </a:cubicBezTo>
              <a:cubicBezTo>
                <a:pt x="330" y="27"/>
                <a:pt x="318" y="31"/>
                <a:pt x="306" y="34"/>
              </a:cubicBezTo>
              <a:cubicBezTo>
                <a:pt x="275" y="33"/>
                <a:pt x="250" y="30"/>
                <a:pt x="218" y="29"/>
              </a:cubicBezTo>
              <a:cubicBezTo>
                <a:pt x="204" y="26"/>
                <a:pt x="191" y="13"/>
                <a:pt x="176" y="9"/>
              </a:cubicBezTo>
              <a:cubicBezTo>
                <a:pt x="167" y="3"/>
                <a:pt x="166" y="5"/>
                <a:pt x="152" y="6"/>
              </a:cubicBezTo>
              <a:cubicBezTo>
                <a:pt x="146" y="15"/>
                <a:pt x="132" y="22"/>
                <a:pt x="122" y="25"/>
              </a:cubicBezTo>
              <a:cubicBezTo>
                <a:pt x="109" y="24"/>
                <a:pt x="99" y="22"/>
                <a:pt x="85" y="21"/>
              </a:cubicBezTo>
              <a:cubicBezTo>
                <a:pt x="80" y="18"/>
                <a:pt x="75" y="17"/>
                <a:pt x="69" y="16"/>
              </a:cubicBezTo>
              <a:cubicBezTo>
                <a:pt x="67" y="15"/>
                <a:pt x="63" y="14"/>
                <a:pt x="63" y="14"/>
              </a:cubicBezTo>
              <a:cubicBezTo>
                <a:pt x="60" y="11"/>
                <a:pt x="54" y="7"/>
                <a:pt x="54" y="7"/>
              </a:cubicBezTo>
              <a:cubicBezTo>
                <a:pt x="38" y="8"/>
                <a:pt x="26" y="16"/>
                <a:pt x="10" y="19"/>
              </a:cubicBezTo>
              <a:cubicBezTo>
                <a:pt x="7" y="21"/>
                <a:pt x="0" y="25"/>
                <a:pt x="0" y="25"/>
              </a:cubicBezTo>
              <a:close/>
            </a:path>
          </a:pathLst>
        </a:custGeom>
        <a:solidFill>
          <a:srgbClr val="00CCFF"/>
        </a:solidFill>
        <a:ln w="9525">
          <a:solidFill>
            <a:srgbClr val="000000"/>
          </a:solidFill>
          <a:round/>
          <a:headEnd/>
          <a:tailEnd/>
        </a:ln>
      </xdr:spPr>
    </xdr:sp>
    <xdr:clientData/>
  </xdr:twoCellAnchor>
  <xdr:twoCellAnchor>
    <xdr:from>
      <xdr:col>8</xdr:col>
      <xdr:colOff>238125</xdr:colOff>
      <xdr:row>116</xdr:row>
      <xdr:rowOff>123825</xdr:rowOff>
    </xdr:from>
    <xdr:to>
      <xdr:col>14</xdr:col>
      <xdr:colOff>38100</xdr:colOff>
      <xdr:row>118</xdr:row>
      <xdr:rowOff>180975</xdr:rowOff>
    </xdr:to>
    <xdr:sp macro="" textlink="">
      <xdr:nvSpPr>
        <xdr:cNvPr id="53489" name="AutoShape 1265">
          <a:hlinkClick xmlns:r="http://schemas.openxmlformats.org/officeDocument/2006/relationships" r:id="rId1"/>
        </xdr:cNvPr>
        <xdr:cNvSpPr>
          <a:spLocks noChangeArrowheads="1"/>
        </xdr:cNvSpPr>
      </xdr:nvSpPr>
      <xdr:spPr bwMode="auto">
        <a:xfrm>
          <a:off x="3695700" y="15916275"/>
          <a:ext cx="2400300" cy="4381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ΕΠΙΣΤΡΟΦΗ</a:t>
          </a:r>
        </a:p>
      </xdr:txBody>
    </xdr:sp>
    <xdr:clientData/>
  </xdr:twoCellAnchor>
  <xdr:twoCellAnchor>
    <xdr:from>
      <xdr:col>10</xdr:col>
      <xdr:colOff>238125</xdr:colOff>
      <xdr:row>0</xdr:row>
      <xdr:rowOff>95250</xdr:rowOff>
    </xdr:from>
    <xdr:to>
      <xdr:col>15</xdr:col>
      <xdr:colOff>523875</xdr:colOff>
      <xdr:row>3</xdr:row>
      <xdr:rowOff>19050</xdr:rowOff>
    </xdr:to>
    <xdr:sp macro="" textlink="">
      <xdr:nvSpPr>
        <xdr:cNvPr id="53490" name="AutoShape 1266">
          <a:hlinkClick xmlns:r="http://schemas.openxmlformats.org/officeDocument/2006/relationships" r:id="rId2"/>
        </xdr:cNvPr>
        <xdr:cNvSpPr>
          <a:spLocks noChangeArrowheads="1"/>
        </xdr:cNvSpPr>
      </xdr:nvSpPr>
      <xdr:spPr bwMode="auto">
        <a:xfrm>
          <a:off x="4438650" y="95250"/>
          <a:ext cx="2619375" cy="6667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27432" tIns="36576" rIns="27432" bIns="36576" anchor="ctr" upright="1"/>
        <a:lstStyle/>
        <a:p>
          <a:pPr algn="ctr" rtl="0">
            <a:defRPr sz="1000"/>
          </a:pPr>
          <a:r>
            <a:rPr lang="el-GR" sz="1000" b="1" i="0" strike="noStrike">
              <a:solidFill>
                <a:srgbClr val="000000"/>
              </a:solidFill>
              <a:latin typeface="Comic Sans MS"/>
            </a:rPr>
            <a:t>ΕΠΙΣΤΡΟΦΗ ΣΤΑ ΠΕΡΙΕΧΟΜΕΝΑ</a:t>
          </a:r>
        </a:p>
      </xdr:txBody>
    </xdr:sp>
    <xdr:clientData/>
  </xdr:twoCellAnchor>
  <xdr:twoCellAnchor>
    <xdr:from>
      <xdr:col>1</xdr:col>
      <xdr:colOff>9525</xdr:colOff>
      <xdr:row>43</xdr:row>
      <xdr:rowOff>66675</xdr:rowOff>
    </xdr:from>
    <xdr:to>
      <xdr:col>1</xdr:col>
      <xdr:colOff>219075</xdr:colOff>
      <xdr:row>44</xdr:row>
      <xdr:rowOff>142875</xdr:rowOff>
    </xdr:to>
    <xdr:sp macro="" textlink="">
      <xdr:nvSpPr>
        <xdr:cNvPr id="191" name="TextBox 190"/>
        <xdr:cNvSpPr txBox="1"/>
      </xdr:nvSpPr>
      <xdr:spPr>
        <a:xfrm>
          <a:off x="304800" y="103060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7</xdr:col>
      <xdr:colOff>66675</xdr:colOff>
      <xdr:row>43</xdr:row>
      <xdr:rowOff>76200</xdr:rowOff>
    </xdr:from>
    <xdr:to>
      <xdr:col>7</xdr:col>
      <xdr:colOff>276225</xdr:colOff>
      <xdr:row>44</xdr:row>
      <xdr:rowOff>152400</xdr:rowOff>
    </xdr:to>
    <xdr:sp macro="" textlink="">
      <xdr:nvSpPr>
        <xdr:cNvPr id="192" name="TextBox 191"/>
        <xdr:cNvSpPr txBox="1"/>
      </xdr:nvSpPr>
      <xdr:spPr>
        <a:xfrm>
          <a:off x="2876550" y="10315575"/>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4</xdr:col>
      <xdr:colOff>76200</xdr:colOff>
      <xdr:row>43</xdr:row>
      <xdr:rowOff>104775</xdr:rowOff>
    </xdr:from>
    <xdr:to>
      <xdr:col>4</xdr:col>
      <xdr:colOff>285750</xdr:colOff>
      <xdr:row>44</xdr:row>
      <xdr:rowOff>180975</xdr:rowOff>
    </xdr:to>
    <xdr:sp macro="" textlink="">
      <xdr:nvSpPr>
        <xdr:cNvPr id="193" name="TextBox 192"/>
        <xdr:cNvSpPr txBox="1"/>
      </xdr:nvSpPr>
      <xdr:spPr>
        <a:xfrm>
          <a:off x="1552575" y="103441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10</xdr:col>
      <xdr:colOff>257175</xdr:colOff>
      <xdr:row>43</xdr:row>
      <xdr:rowOff>66675</xdr:rowOff>
    </xdr:from>
    <xdr:to>
      <xdr:col>11</xdr:col>
      <xdr:colOff>200025</xdr:colOff>
      <xdr:row>44</xdr:row>
      <xdr:rowOff>142875</xdr:rowOff>
    </xdr:to>
    <xdr:sp macro="" textlink="">
      <xdr:nvSpPr>
        <xdr:cNvPr id="194" name="TextBox 193"/>
        <xdr:cNvSpPr txBox="1"/>
      </xdr:nvSpPr>
      <xdr:spPr>
        <a:xfrm>
          <a:off x="4457700" y="103060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14</xdr:col>
      <xdr:colOff>257175</xdr:colOff>
      <xdr:row>43</xdr:row>
      <xdr:rowOff>66675</xdr:rowOff>
    </xdr:from>
    <xdr:to>
      <xdr:col>15</xdr:col>
      <xdr:colOff>200025</xdr:colOff>
      <xdr:row>44</xdr:row>
      <xdr:rowOff>142875</xdr:rowOff>
    </xdr:to>
    <xdr:sp macro="" textlink="">
      <xdr:nvSpPr>
        <xdr:cNvPr id="195" name="TextBox 194"/>
        <xdr:cNvSpPr txBox="1"/>
      </xdr:nvSpPr>
      <xdr:spPr>
        <a:xfrm>
          <a:off x="4457700" y="103060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0</xdr:col>
      <xdr:colOff>38100</xdr:colOff>
      <xdr:row>39</xdr:row>
      <xdr:rowOff>180975</xdr:rowOff>
    </xdr:from>
    <xdr:to>
      <xdr:col>15</xdr:col>
      <xdr:colOff>609600</xdr:colOff>
      <xdr:row>50</xdr:row>
      <xdr:rowOff>219075</xdr:rowOff>
    </xdr:to>
    <xdr:sp macro="" textlink="">
      <xdr:nvSpPr>
        <xdr:cNvPr id="196" name="Rounded Rectangle 195"/>
        <xdr:cNvSpPr/>
      </xdr:nvSpPr>
      <xdr:spPr bwMode="auto">
        <a:xfrm>
          <a:off x="38100" y="9429750"/>
          <a:ext cx="7105650" cy="2771775"/>
        </a:xfrm>
        <a:prstGeom prst="roundRect">
          <a:avLst>
            <a:gd name="adj" fmla="val 5556"/>
          </a:avLst>
        </a:prstGeom>
        <a:noFill/>
        <a:ln w="28575" cap="flat" cmpd="sng" algn="ctr">
          <a:solidFill>
            <a:srgbClr val="0000CC"/>
          </a:solidFill>
          <a:prstDash val="solid"/>
          <a:round/>
          <a:headEnd type="none" w="med" len="med"/>
          <a:tailEnd type="none" w="med" len="med"/>
        </a:ln>
        <a:effectLst/>
      </xdr:spPr>
      <xdr:txBody>
        <a:bodyPr vertOverflow="clip" wrap="square" lIns="18288" tIns="0" rIns="0" bIns="0" rtlCol="0" anchor="ctr" upright="1"/>
        <a:lstStyle/>
        <a:p>
          <a:pPr algn="ctr"/>
          <a:endParaRPr lang="en-GB" sz="1100"/>
        </a:p>
      </xdr:txBody>
    </xdr:sp>
    <xdr:clientData/>
  </xdr:twoCellAnchor>
  <xdr:twoCellAnchor>
    <xdr:from>
      <xdr:col>2</xdr:col>
      <xdr:colOff>95250</xdr:colOff>
      <xdr:row>80</xdr:row>
      <xdr:rowOff>200025</xdr:rowOff>
    </xdr:from>
    <xdr:to>
      <xdr:col>2</xdr:col>
      <xdr:colOff>523875</xdr:colOff>
      <xdr:row>82</xdr:row>
      <xdr:rowOff>171450</xdr:rowOff>
    </xdr:to>
    <xdr:sp macro="" textlink="">
      <xdr:nvSpPr>
        <xdr:cNvPr id="197" name="Oval 1170"/>
        <xdr:cNvSpPr>
          <a:spLocks noChangeArrowheads="1"/>
        </xdr:cNvSpPr>
      </xdr:nvSpPr>
      <xdr:spPr bwMode="auto">
        <a:xfrm>
          <a:off x="657225" y="13782675"/>
          <a:ext cx="428625" cy="466725"/>
        </a:xfrm>
        <a:prstGeom prst="ellipse">
          <a:avLst/>
        </a:prstGeom>
        <a:solidFill>
          <a:srgbClr val="FFFF00"/>
        </a:solidFill>
        <a:ln w="9525">
          <a:solidFill>
            <a:srgbClr val="000000"/>
          </a:solidFill>
          <a:round/>
          <a:headEnd/>
          <a:tailEnd/>
        </a:ln>
      </xdr:spPr>
    </xdr:sp>
    <xdr:clientData/>
  </xdr:twoCellAnchor>
  <xdr:twoCellAnchor>
    <xdr:from>
      <xdr:col>2</xdr:col>
      <xdr:colOff>238125</xdr:colOff>
      <xdr:row>82</xdr:row>
      <xdr:rowOff>171450</xdr:rowOff>
    </xdr:from>
    <xdr:to>
      <xdr:col>2</xdr:col>
      <xdr:colOff>419100</xdr:colOff>
      <xdr:row>84</xdr:row>
      <xdr:rowOff>0</xdr:rowOff>
    </xdr:to>
    <xdr:sp macro="" textlink="">
      <xdr:nvSpPr>
        <xdr:cNvPr id="198" name="Text Box 1171"/>
        <xdr:cNvSpPr txBox="1">
          <a:spLocks noChangeArrowheads="1"/>
        </xdr:cNvSpPr>
      </xdr:nvSpPr>
      <xdr:spPr bwMode="auto">
        <a:xfrm>
          <a:off x="800100" y="14249400"/>
          <a:ext cx="180975" cy="152400"/>
        </a:xfrm>
        <a:prstGeom prst="rect">
          <a:avLst/>
        </a:prstGeom>
        <a:solidFill>
          <a:srgbClr val="FFFF00"/>
        </a:solidFill>
        <a:ln w="9525">
          <a:noFill/>
          <a:miter lim="800000"/>
          <a:headEnd/>
          <a:tailEnd/>
        </a:ln>
      </xdr:spPr>
    </xdr:sp>
    <xdr:clientData/>
  </xdr:twoCellAnchor>
  <xdr:twoCellAnchor>
    <xdr:from>
      <xdr:col>0</xdr:col>
      <xdr:colOff>371475</xdr:colOff>
      <xdr:row>82</xdr:row>
      <xdr:rowOff>142875</xdr:rowOff>
    </xdr:from>
    <xdr:to>
      <xdr:col>2</xdr:col>
      <xdr:colOff>276225</xdr:colOff>
      <xdr:row>84</xdr:row>
      <xdr:rowOff>47625</xdr:rowOff>
    </xdr:to>
    <xdr:sp macro="" textlink="">
      <xdr:nvSpPr>
        <xdr:cNvPr id="199" name="Freeform 1172"/>
        <xdr:cNvSpPr>
          <a:spLocks/>
        </xdr:cNvSpPr>
      </xdr:nvSpPr>
      <xdr:spPr bwMode="auto">
        <a:xfrm>
          <a:off x="295275" y="14220825"/>
          <a:ext cx="542925"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2</xdr:col>
      <xdr:colOff>409575</xdr:colOff>
      <xdr:row>82</xdr:row>
      <xdr:rowOff>161925</xdr:rowOff>
    </xdr:from>
    <xdr:to>
      <xdr:col>4</xdr:col>
      <xdr:colOff>19050</xdr:colOff>
      <xdr:row>84</xdr:row>
      <xdr:rowOff>9525</xdr:rowOff>
    </xdr:to>
    <xdr:sp macro="" textlink="">
      <xdr:nvSpPr>
        <xdr:cNvPr id="200" name="Freeform 1173"/>
        <xdr:cNvSpPr>
          <a:spLocks/>
        </xdr:cNvSpPr>
      </xdr:nvSpPr>
      <xdr:spPr bwMode="auto">
        <a:xfrm>
          <a:off x="971550" y="14239875"/>
          <a:ext cx="5238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0</xdr:col>
      <xdr:colOff>171450</xdr:colOff>
      <xdr:row>83</xdr:row>
      <xdr:rowOff>38100</xdr:rowOff>
    </xdr:from>
    <xdr:to>
      <xdr:col>2</xdr:col>
      <xdr:colOff>0</xdr:colOff>
      <xdr:row>87</xdr:row>
      <xdr:rowOff>76200</xdr:rowOff>
    </xdr:to>
    <xdr:sp macro="" textlink="">
      <xdr:nvSpPr>
        <xdr:cNvPr id="201" name="Freeform 1174"/>
        <xdr:cNvSpPr>
          <a:spLocks/>
        </xdr:cNvSpPr>
      </xdr:nvSpPr>
      <xdr:spPr bwMode="auto">
        <a:xfrm>
          <a:off x="171450" y="14363700"/>
          <a:ext cx="390525" cy="137160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1</xdr:col>
      <xdr:colOff>28575</xdr:colOff>
      <xdr:row>87</xdr:row>
      <xdr:rowOff>38100</xdr:rowOff>
    </xdr:from>
    <xdr:to>
      <xdr:col>1</xdr:col>
      <xdr:colOff>171450</xdr:colOff>
      <xdr:row>88</xdr:row>
      <xdr:rowOff>57150</xdr:rowOff>
    </xdr:to>
    <xdr:sp macro="" textlink="">
      <xdr:nvSpPr>
        <xdr:cNvPr id="202" name="Freeform 1175"/>
        <xdr:cNvSpPr>
          <a:spLocks/>
        </xdr:cNvSpPr>
      </xdr:nvSpPr>
      <xdr:spPr bwMode="auto">
        <a:xfrm>
          <a:off x="323850" y="15697200"/>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2</xdr:col>
      <xdr:colOff>609600</xdr:colOff>
      <xdr:row>83</xdr:row>
      <xdr:rowOff>66675</xdr:rowOff>
    </xdr:from>
    <xdr:to>
      <xdr:col>4</xdr:col>
      <xdr:colOff>95250</xdr:colOff>
      <xdr:row>87</xdr:row>
      <xdr:rowOff>28575</xdr:rowOff>
    </xdr:to>
    <xdr:sp macro="" textlink="">
      <xdr:nvSpPr>
        <xdr:cNvPr id="203" name="Freeform 1176"/>
        <xdr:cNvSpPr>
          <a:spLocks/>
        </xdr:cNvSpPr>
      </xdr:nvSpPr>
      <xdr:spPr bwMode="auto">
        <a:xfrm>
          <a:off x="1171575" y="14392275"/>
          <a:ext cx="400050" cy="129540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00FF00"/>
        </a:solidFill>
        <a:ln w="9525">
          <a:solidFill>
            <a:srgbClr val="000000"/>
          </a:solidFill>
          <a:round/>
          <a:headEnd/>
          <a:tailEnd/>
        </a:ln>
      </xdr:spPr>
    </xdr:sp>
    <xdr:clientData/>
  </xdr:twoCellAnchor>
  <xdr:twoCellAnchor>
    <xdr:from>
      <xdr:col>1</xdr:col>
      <xdr:colOff>200025</xdr:colOff>
      <xdr:row>80</xdr:row>
      <xdr:rowOff>95250</xdr:rowOff>
    </xdr:from>
    <xdr:to>
      <xdr:col>3</xdr:col>
      <xdr:colOff>9525</xdr:colOff>
      <xdr:row>82</xdr:row>
      <xdr:rowOff>209550</xdr:rowOff>
    </xdr:to>
    <xdr:sp macro="" textlink="">
      <xdr:nvSpPr>
        <xdr:cNvPr id="204" name="Freeform 1177"/>
        <xdr:cNvSpPr>
          <a:spLocks/>
        </xdr:cNvSpPr>
      </xdr:nvSpPr>
      <xdr:spPr bwMode="auto">
        <a:xfrm>
          <a:off x="495300" y="13677900"/>
          <a:ext cx="7239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2</xdr:col>
      <xdr:colOff>200025</xdr:colOff>
      <xdr:row>81</xdr:row>
      <xdr:rowOff>104775</xdr:rowOff>
    </xdr:from>
    <xdr:to>
      <xdr:col>2</xdr:col>
      <xdr:colOff>266700</xdr:colOff>
      <xdr:row>81</xdr:row>
      <xdr:rowOff>228600</xdr:rowOff>
    </xdr:to>
    <xdr:sp macro="" textlink="">
      <xdr:nvSpPr>
        <xdr:cNvPr id="205" name="Freeform 1178"/>
        <xdr:cNvSpPr>
          <a:spLocks/>
        </xdr:cNvSpPr>
      </xdr:nvSpPr>
      <xdr:spPr bwMode="auto">
        <a:xfrm>
          <a:off x="762000" y="139350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352425</xdr:colOff>
      <xdr:row>81</xdr:row>
      <xdr:rowOff>104775</xdr:rowOff>
    </xdr:from>
    <xdr:to>
      <xdr:col>2</xdr:col>
      <xdr:colOff>419100</xdr:colOff>
      <xdr:row>81</xdr:row>
      <xdr:rowOff>228600</xdr:rowOff>
    </xdr:to>
    <xdr:sp macro="" textlink="">
      <xdr:nvSpPr>
        <xdr:cNvPr id="206" name="Freeform 1179"/>
        <xdr:cNvSpPr>
          <a:spLocks/>
        </xdr:cNvSpPr>
      </xdr:nvSpPr>
      <xdr:spPr bwMode="auto">
        <a:xfrm>
          <a:off x="914400" y="139350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171450</xdr:colOff>
      <xdr:row>81</xdr:row>
      <xdr:rowOff>76200</xdr:rowOff>
    </xdr:from>
    <xdr:to>
      <xdr:col>2</xdr:col>
      <xdr:colOff>266700</xdr:colOff>
      <xdr:row>81</xdr:row>
      <xdr:rowOff>114300</xdr:rowOff>
    </xdr:to>
    <xdr:sp macro="" textlink="">
      <xdr:nvSpPr>
        <xdr:cNvPr id="207" name="Freeform 1180"/>
        <xdr:cNvSpPr>
          <a:spLocks/>
        </xdr:cNvSpPr>
      </xdr:nvSpPr>
      <xdr:spPr bwMode="auto">
        <a:xfrm>
          <a:off x="733425" y="1390650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2</xdr:col>
      <xdr:colOff>352425</xdr:colOff>
      <xdr:row>81</xdr:row>
      <xdr:rowOff>76200</xdr:rowOff>
    </xdr:from>
    <xdr:to>
      <xdr:col>2</xdr:col>
      <xdr:colOff>438150</xdr:colOff>
      <xdr:row>81</xdr:row>
      <xdr:rowOff>85725</xdr:rowOff>
    </xdr:to>
    <xdr:sp macro="" textlink="">
      <xdr:nvSpPr>
        <xdr:cNvPr id="208" name="Freeform 1181"/>
        <xdr:cNvSpPr>
          <a:spLocks/>
        </xdr:cNvSpPr>
      </xdr:nvSpPr>
      <xdr:spPr bwMode="auto">
        <a:xfrm>
          <a:off x="914400" y="1390650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2</xdr:col>
      <xdr:colOff>247650</xdr:colOff>
      <xdr:row>82</xdr:row>
      <xdr:rowOff>66675</xdr:rowOff>
    </xdr:from>
    <xdr:to>
      <xdr:col>2</xdr:col>
      <xdr:colOff>409575</xdr:colOff>
      <xdr:row>82</xdr:row>
      <xdr:rowOff>114300</xdr:rowOff>
    </xdr:to>
    <xdr:sp macro="" textlink="">
      <xdr:nvSpPr>
        <xdr:cNvPr id="209" name="Freeform 1182"/>
        <xdr:cNvSpPr>
          <a:spLocks/>
        </xdr:cNvSpPr>
      </xdr:nvSpPr>
      <xdr:spPr bwMode="auto">
        <a:xfrm>
          <a:off x="809625" y="1414462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2</xdr:col>
      <xdr:colOff>295275</xdr:colOff>
      <xdr:row>81</xdr:row>
      <xdr:rowOff>200025</xdr:rowOff>
    </xdr:from>
    <xdr:to>
      <xdr:col>2</xdr:col>
      <xdr:colOff>323850</xdr:colOff>
      <xdr:row>82</xdr:row>
      <xdr:rowOff>104775</xdr:rowOff>
    </xdr:to>
    <xdr:sp macro="" textlink="">
      <xdr:nvSpPr>
        <xdr:cNvPr id="210" name="Freeform 1183"/>
        <xdr:cNvSpPr>
          <a:spLocks/>
        </xdr:cNvSpPr>
      </xdr:nvSpPr>
      <xdr:spPr bwMode="auto">
        <a:xfrm>
          <a:off x="857250" y="1403032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3</xdr:col>
      <xdr:colOff>95250</xdr:colOff>
      <xdr:row>86</xdr:row>
      <xdr:rowOff>352425</xdr:rowOff>
    </xdr:from>
    <xdr:to>
      <xdr:col>4</xdr:col>
      <xdr:colOff>114300</xdr:colOff>
      <xdr:row>88</xdr:row>
      <xdr:rowOff>19050</xdr:rowOff>
    </xdr:to>
    <xdr:sp macro="" textlink="">
      <xdr:nvSpPr>
        <xdr:cNvPr id="211" name="Freeform 1184"/>
        <xdr:cNvSpPr>
          <a:spLocks/>
        </xdr:cNvSpPr>
      </xdr:nvSpPr>
      <xdr:spPr bwMode="auto">
        <a:xfrm>
          <a:off x="1304925" y="15649575"/>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2</xdr:col>
      <xdr:colOff>209550</xdr:colOff>
      <xdr:row>81</xdr:row>
      <xdr:rowOff>123825</xdr:rowOff>
    </xdr:from>
    <xdr:to>
      <xdr:col>2</xdr:col>
      <xdr:colOff>304800</xdr:colOff>
      <xdr:row>81</xdr:row>
      <xdr:rowOff>200025</xdr:rowOff>
    </xdr:to>
    <xdr:sp macro="" textlink="">
      <xdr:nvSpPr>
        <xdr:cNvPr id="212" name="Freeform 1185"/>
        <xdr:cNvSpPr>
          <a:spLocks/>
        </xdr:cNvSpPr>
      </xdr:nvSpPr>
      <xdr:spPr bwMode="auto">
        <a:xfrm>
          <a:off x="771525" y="1395412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2</xdr:col>
      <xdr:colOff>361950</xdr:colOff>
      <xdr:row>81</xdr:row>
      <xdr:rowOff>133350</xdr:rowOff>
    </xdr:from>
    <xdr:to>
      <xdr:col>2</xdr:col>
      <xdr:colOff>457200</xdr:colOff>
      <xdr:row>81</xdr:row>
      <xdr:rowOff>209550</xdr:rowOff>
    </xdr:to>
    <xdr:sp macro="" textlink="">
      <xdr:nvSpPr>
        <xdr:cNvPr id="213" name="Freeform 1186"/>
        <xdr:cNvSpPr>
          <a:spLocks/>
        </xdr:cNvSpPr>
      </xdr:nvSpPr>
      <xdr:spPr bwMode="auto">
        <a:xfrm>
          <a:off x="923925" y="139636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xdr:col>
      <xdr:colOff>209550</xdr:colOff>
      <xdr:row>87</xdr:row>
      <xdr:rowOff>114300</xdr:rowOff>
    </xdr:from>
    <xdr:to>
      <xdr:col>4</xdr:col>
      <xdr:colOff>9525</xdr:colOff>
      <xdr:row>92</xdr:row>
      <xdr:rowOff>209550</xdr:rowOff>
    </xdr:to>
    <xdr:sp macro="" textlink="">
      <xdr:nvSpPr>
        <xdr:cNvPr id="214" name="Freeform 1187"/>
        <xdr:cNvSpPr>
          <a:spLocks/>
        </xdr:cNvSpPr>
      </xdr:nvSpPr>
      <xdr:spPr bwMode="auto">
        <a:xfrm>
          <a:off x="504825" y="15773400"/>
          <a:ext cx="9810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2</xdr:col>
      <xdr:colOff>47625</xdr:colOff>
      <xdr:row>88</xdr:row>
      <xdr:rowOff>28575</xdr:rowOff>
    </xdr:from>
    <xdr:to>
      <xdr:col>2</xdr:col>
      <xdr:colOff>238125</xdr:colOff>
      <xdr:row>89</xdr:row>
      <xdr:rowOff>0</xdr:rowOff>
    </xdr:to>
    <xdr:sp macro="" textlink="">
      <xdr:nvSpPr>
        <xdr:cNvPr id="215" name="Freeform 1188"/>
        <xdr:cNvSpPr>
          <a:spLocks/>
        </xdr:cNvSpPr>
      </xdr:nvSpPr>
      <xdr:spPr bwMode="auto">
        <a:xfrm>
          <a:off x="609600" y="158400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2</xdr:col>
      <xdr:colOff>419100</xdr:colOff>
      <xdr:row>88</xdr:row>
      <xdr:rowOff>19050</xdr:rowOff>
    </xdr:from>
    <xdr:to>
      <xdr:col>2</xdr:col>
      <xdr:colOff>609600</xdr:colOff>
      <xdr:row>88</xdr:row>
      <xdr:rowOff>238125</xdr:rowOff>
    </xdr:to>
    <xdr:sp macro="" textlink="">
      <xdr:nvSpPr>
        <xdr:cNvPr id="216" name="Freeform 1189"/>
        <xdr:cNvSpPr>
          <a:spLocks/>
        </xdr:cNvSpPr>
      </xdr:nvSpPr>
      <xdr:spPr bwMode="auto">
        <a:xfrm>
          <a:off x="981075" y="158305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0</xdr:col>
      <xdr:colOff>352425</xdr:colOff>
      <xdr:row>92</xdr:row>
      <xdr:rowOff>123825</xdr:rowOff>
    </xdr:from>
    <xdr:to>
      <xdr:col>2</xdr:col>
      <xdr:colOff>285750</xdr:colOff>
      <xdr:row>94</xdr:row>
      <xdr:rowOff>238125</xdr:rowOff>
    </xdr:to>
    <xdr:sp macro="" textlink="">
      <xdr:nvSpPr>
        <xdr:cNvPr id="217" name="Freeform 1190"/>
        <xdr:cNvSpPr>
          <a:spLocks/>
        </xdr:cNvSpPr>
      </xdr:nvSpPr>
      <xdr:spPr bwMode="auto">
        <a:xfrm>
          <a:off x="295275" y="16925925"/>
          <a:ext cx="552450"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FF0000"/>
        </a:solidFill>
        <a:ln w="9525">
          <a:solidFill>
            <a:srgbClr val="000000"/>
          </a:solidFill>
          <a:round/>
          <a:headEnd/>
          <a:tailEnd/>
        </a:ln>
      </xdr:spPr>
    </xdr:sp>
    <xdr:clientData/>
  </xdr:twoCellAnchor>
  <xdr:twoCellAnchor>
    <xdr:from>
      <xdr:col>2</xdr:col>
      <xdr:colOff>590550</xdr:colOff>
      <xdr:row>92</xdr:row>
      <xdr:rowOff>171450</xdr:rowOff>
    </xdr:from>
    <xdr:to>
      <xdr:col>4</xdr:col>
      <xdr:colOff>371475</xdr:colOff>
      <xdr:row>94</xdr:row>
      <xdr:rowOff>209550</xdr:rowOff>
    </xdr:to>
    <xdr:sp macro="" textlink="">
      <xdr:nvSpPr>
        <xdr:cNvPr id="218" name="Freeform 1191"/>
        <xdr:cNvSpPr>
          <a:spLocks/>
        </xdr:cNvSpPr>
      </xdr:nvSpPr>
      <xdr:spPr bwMode="auto">
        <a:xfrm>
          <a:off x="1152525" y="16973550"/>
          <a:ext cx="695325"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FF0000"/>
        </a:solidFill>
        <a:ln w="9525">
          <a:solidFill>
            <a:srgbClr val="000000"/>
          </a:solidFill>
          <a:round/>
          <a:headEnd/>
          <a:tailEnd/>
        </a:ln>
      </xdr:spPr>
    </xdr:sp>
    <xdr:clientData/>
  </xdr:twoCellAnchor>
  <xdr:twoCellAnchor>
    <xdr:from>
      <xdr:col>2</xdr:col>
      <xdr:colOff>114300</xdr:colOff>
      <xdr:row>90</xdr:row>
      <xdr:rowOff>95250</xdr:rowOff>
    </xdr:from>
    <xdr:to>
      <xdr:col>2</xdr:col>
      <xdr:colOff>266700</xdr:colOff>
      <xdr:row>91</xdr:row>
      <xdr:rowOff>104775</xdr:rowOff>
    </xdr:to>
    <xdr:sp macro="" textlink="">
      <xdr:nvSpPr>
        <xdr:cNvPr id="219" name="Oval 1192"/>
        <xdr:cNvSpPr>
          <a:spLocks noChangeArrowheads="1"/>
        </xdr:cNvSpPr>
      </xdr:nvSpPr>
      <xdr:spPr bwMode="auto">
        <a:xfrm>
          <a:off x="676275" y="16402050"/>
          <a:ext cx="152400" cy="257175"/>
        </a:xfrm>
        <a:prstGeom prst="ellipse">
          <a:avLst/>
        </a:prstGeom>
        <a:solidFill>
          <a:srgbClr val="FFCC00"/>
        </a:solidFill>
        <a:ln w="9525">
          <a:solidFill>
            <a:srgbClr val="000000"/>
          </a:solidFill>
          <a:round/>
          <a:headEnd/>
          <a:tailEnd/>
        </a:ln>
      </xdr:spPr>
    </xdr:sp>
    <xdr:clientData/>
  </xdr:twoCellAnchor>
  <xdr:twoCellAnchor>
    <xdr:from>
      <xdr:col>2</xdr:col>
      <xdr:colOff>561975</xdr:colOff>
      <xdr:row>90</xdr:row>
      <xdr:rowOff>85725</xdr:rowOff>
    </xdr:from>
    <xdr:to>
      <xdr:col>3</xdr:col>
      <xdr:colOff>66675</xdr:colOff>
      <xdr:row>91</xdr:row>
      <xdr:rowOff>95250</xdr:rowOff>
    </xdr:to>
    <xdr:sp macro="" textlink="">
      <xdr:nvSpPr>
        <xdr:cNvPr id="220" name="Oval 1193"/>
        <xdr:cNvSpPr>
          <a:spLocks noChangeArrowheads="1"/>
        </xdr:cNvSpPr>
      </xdr:nvSpPr>
      <xdr:spPr bwMode="auto">
        <a:xfrm>
          <a:off x="1123950" y="16392525"/>
          <a:ext cx="152400" cy="257175"/>
        </a:xfrm>
        <a:prstGeom prst="ellipse">
          <a:avLst/>
        </a:prstGeom>
        <a:solidFill>
          <a:srgbClr val="FFCC00"/>
        </a:solidFill>
        <a:ln w="9525">
          <a:solidFill>
            <a:srgbClr val="000000"/>
          </a:solidFill>
          <a:round/>
          <a:headEnd/>
          <a:tailEnd/>
        </a:ln>
      </xdr:spPr>
    </xdr:sp>
    <xdr:clientData/>
  </xdr:twoCellAnchor>
  <xdr:twoCellAnchor>
    <xdr:from>
      <xdr:col>4</xdr:col>
      <xdr:colOff>200025</xdr:colOff>
      <xdr:row>80</xdr:row>
      <xdr:rowOff>114300</xdr:rowOff>
    </xdr:from>
    <xdr:to>
      <xdr:col>5</xdr:col>
      <xdr:colOff>304800</xdr:colOff>
      <xdr:row>87</xdr:row>
      <xdr:rowOff>142875</xdr:rowOff>
    </xdr:to>
    <xdr:sp macro="" textlink="">
      <xdr:nvSpPr>
        <xdr:cNvPr id="221" name="Freeform 1194"/>
        <xdr:cNvSpPr>
          <a:spLocks/>
        </xdr:cNvSpPr>
      </xdr:nvSpPr>
      <xdr:spPr bwMode="auto">
        <a:xfrm>
          <a:off x="1676400" y="13696950"/>
          <a:ext cx="79057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4</xdr:col>
      <xdr:colOff>352425</xdr:colOff>
      <xdr:row>81</xdr:row>
      <xdr:rowOff>19050</xdr:rowOff>
    </xdr:from>
    <xdr:to>
      <xdr:col>5</xdr:col>
      <xdr:colOff>457200</xdr:colOff>
      <xdr:row>88</xdr:row>
      <xdr:rowOff>142875</xdr:rowOff>
    </xdr:to>
    <xdr:sp macro="" textlink="">
      <xdr:nvSpPr>
        <xdr:cNvPr id="222" name="Freeform 1195"/>
        <xdr:cNvSpPr>
          <a:spLocks/>
        </xdr:cNvSpPr>
      </xdr:nvSpPr>
      <xdr:spPr bwMode="auto">
        <a:xfrm>
          <a:off x="1828800" y="13849350"/>
          <a:ext cx="71437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7</xdr:col>
      <xdr:colOff>95250</xdr:colOff>
      <xdr:row>80</xdr:row>
      <xdr:rowOff>200025</xdr:rowOff>
    </xdr:from>
    <xdr:to>
      <xdr:col>7</xdr:col>
      <xdr:colOff>523875</xdr:colOff>
      <xdr:row>82</xdr:row>
      <xdr:rowOff>171450</xdr:rowOff>
    </xdr:to>
    <xdr:sp macro="" textlink="">
      <xdr:nvSpPr>
        <xdr:cNvPr id="223" name="Oval 1196"/>
        <xdr:cNvSpPr>
          <a:spLocks noChangeArrowheads="1"/>
        </xdr:cNvSpPr>
      </xdr:nvSpPr>
      <xdr:spPr bwMode="auto">
        <a:xfrm>
          <a:off x="2905125" y="13782675"/>
          <a:ext cx="428625" cy="466725"/>
        </a:xfrm>
        <a:prstGeom prst="ellipse">
          <a:avLst/>
        </a:prstGeom>
        <a:solidFill>
          <a:srgbClr val="FFFF00"/>
        </a:solidFill>
        <a:ln w="9525">
          <a:solidFill>
            <a:srgbClr val="000000"/>
          </a:solidFill>
          <a:round/>
          <a:headEnd/>
          <a:tailEnd/>
        </a:ln>
      </xdr:spPr>
    </xdr:sp>
    <xdr:clientData/>
  </xdr:twoCellAnchor>
  <xdr:twoCellAnchor>
    <xdr:from>
      <xdr:col>7</xdr:col>
      <xdr:colOff>238125</xdr:colOff>
      <xdr:row>82</xdr:row>
      <xdr:rowOff>171450</xdr:rowOff>
    </xdr:from>
    <xdr:to>
      <xdr:col>7</xdr:col>
      <xdr:colOff>419100</xdr:colOff>
      <xdr:row>84</xdr:row>
      <xdr:rowOff>0</xdr:rowOff>
    </xdr:to>
    <xdr:sp macro="" textlink="">
      <xdr:nvSpPr>
        <xdr:cNvPr id="224" name="Text Box 1197"/>
        <xdr:cNvSpPr txBox="1">
          <a:spLocks noChangeArrowheads="1"/>
        </xdr:cNvSpPr>
      </xdr:nvSpPr>
      <xdr:spPr bwMode="auto">
        <a:xfrm>
          <a:off x="3048000" y="14249400"/>
          <a:ext cx="180975" cy="152400"/>
        </a:xfrm>
        <a:prstGeom prst="rect">
          <a:avLst/>
        </a:prstGeom>
        <a:solidFill>
          <a:srgbClr val="FFFF00"/>
        </a:solidFill>
        <a:ln w="9525">
          <a:noFill/>
          <a:miter lim="800000"/>
          <a:headEnd/>
          <a:tailEnd/>
        </a:ln>
      </xdr:spPr>
    </xdr:sp>
    <xdr:clientData/>
  </xdr:twoCellAnchor>
  <xdr:twoCellAnchor>
    <xdr:from>
      <xdr:col>5</xdr:col>
      <xdr:colOff>371475</xdr:colOff>
      <xdr:row>82</xdr:row>
      <xdr:rowOff>142875</xdr:rowOff>
    </xdr:from>
    <xdr:to>
      <xdr:col>7</xdr:col>
      <xdr:colOff>276225</xdr:colOff>
      <xdr:row>84</xdr:row>
      <xdr:rowOff>47625</xdr:rowOff>
    </xdr:to>
    <xdr:sp macro="" textlink="">
      <xdr:nvSpPr>
        <xdr:cNvPr id="225" name="Freeform 1198"/>
        <xdr:cNvSpPr>
          <a:spLocks/>
        </xdr:cNvSpPr>
      </xdr:nvSpPr>
      <xdr:spPr bwMode="auto">
        <a:xfrm>
          <a:off x="2533650" y="14220825"/>
          <a:ext cx="552450"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7</xdr:col>
      <xdr:colOff>409575</xdr:colOff>
      <xdr:row>82</xdr:row>
      <xdr:rowOff>161925</xdr:rowOff>
    </xdr:from>
    <xdr:to>
      <xdr:col>9</xdr:col>
      <xdr:colOff>19050</xdr:colOff>
      <xdr:row>84</xdr:row>
      <xdr:rowOff>9525</xdr:rowOff>
    </xdr:to>
    <xdr:sp macro="" textlink="">
      <xdr:nvSpPr>
        <xdr:cNvPr id="226" name="Freeform 1199"/>
        <xdr:cNvSpPr>
          <a:spLocks/>
        </xdr:cNvSpPr>
      </xdr:nvSpPr>
      <xdr:spPr bwMode="auto">
        <a:xfrm>
          <a:off x="3219450" y="14239875"/>
          <a:ext cx="6000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5</xdr:col>
      <xdr:colOff>171450</xdr:colOff>
      <xdr:row>83</xdr:row>
      <xdr:rowOff>38100</xdr:rowOff>
    </xdr:from>
    <xdr:to>
      <xdr:col>7</xdr:col>
      <xdr:colOff>0</xdr:colOff>
      <xdr:row>87</xdr:row>
      <xdr:rowOff>76200</xdr:rowOff>
    </xdr:to>
    <xdr:sp macro="" textlink="">
      <xdr:nvSpPr>
        <xdr:cNvPr id="227" name="Freeform 1200"/>
        <xdr:cNvSpPr>
          <a:spLocks/>
        </xdr:cNvSpPr>
      </xdr:nvSpPr>
      <xdr:spPr bwMode="auto">
        <a:xfrm>
          <a:off x="2333625" y="14363700"/>
          <a:ext cx="476250" cy="137160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6</xdr:col>
      <xdr:colOff>28575</xdr:colOff>
      <xdr:row>87</xdr:row>
      <xdr:rowOff>38100</xdr:rowOff>
    </xdr:from>
    <xdr:to>
      <xdr:col>6</xdr:col>
      <xdr:colOff>171450</xdr:colOff>
      <xdr:row>88</xdr:row>
      <xdr:rowOff>57150</xdr:rowOff>
    </xdr:to>
    <xdr:sp macro="" textlink="">
      <xdr:nvSpPr>
        <xdr:cNvPr id="228" name="Freeform 1201"/>
        <xdr:cNvSpPr>
          <a:spLocks/>
        </xdr:cNvSpPr>
      </xdr:nvSpPr>
      <xdr:spPr bwMode="auto">
        <a:xfrm>
          <a:off x="2571750" y="15697200"/>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6</xdr:col>
      <xdr:colOff>200025</xdr:colOff>
      <xdr:row>80</xdr:row>
      <xdr:rowOff>95250</xdr:rowOff>
    </xdr:from>
    <xdr:to>
      <xdr:col>8</xdr:col>
      <xdr:colOff>9525</xdr:colOff>
      <xdr:row>82</xdr:row>
      <xdr:rowOff>209550</xdr:rowOff>
    </xdr:to>
    <xdr:sp macro="" textlink="">
      <xdr:nvSpPr>
        <xdr:cNvPr id="229" name="Freeform 1202"/>
        <xdr:cNvSpPr>
          <a:spLocks/>
        </xdr:cNvSpPr>
      </xdr:nvSpPr>
      <xdr:spPr bwMode="auto">
        <a:xfrm>
          <a:off x="2743200" y="13677900"/>
          <a:ext cx="8001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7</xdr:col>
      <xdr:colOff>200025</xdr:colOff>
      <xdr:row>81</xdr:row>
      <xdr:rowOff>104775</xdr:rowOff>
    </xdr:from>
    <xdr:to>
      <xdr:col>7</xdr:col>
      <xdr:colOff>266700</xdr:colOff>
      <xdr:row>81</xdr:row>
      <xdr:rowOff>228600</xdr:rowOff>
    </xdr:to>
    <xdr:sp macro="" textlink="">
      <xdr:nvSpPr>
        <xdr:cNvPr id="230" name="Freeform 1203"/>
        <xdr:cNvSpPr>
          <a:spLocks/>
        </xdr:cNvSpPr>
      </xdr:nvSpPr>
      <xdr:spPr bwMode="auto">
        <a:xfrm>
          <a:off x="3009900" y="139350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352425</xdr:colOff>
      <xdr:row>81</xdr:row>
      <xdr:rowOff>104775</xdr:rowOff>
    </xdr:from>
    <xdr:to>
      <xdr:col>7</xdr:col>
      <xdr:colOff>419100</xdr:colOff>
      <xdr:row>81</xdr:row>
      <xdr:rowOff>228600</xdr:rowOff>
    </xdr:to>
    <xdr:sp macro="" textlink="">
      <xdr:nvSpPr>
        <xdr:cNvPr id="231" name="Freeform 1204"/>
        <xdr:cNvSpPr>
          <a:spLocks/>
        </xdr:cNvSpPr>
      </xdr:nvSpPr>
      <xdr:spPr bwMode="auto">
        <a:xfrm>
          <a:off x="3162300" y="139350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171450</xdr:colOff>
      <xdr:row>81</xdr:row>
      <xdr:rowOff>76200</xdr:rowOff>
    </xdr:from>
    <xdr:to>
      <xdr:col>7</xdr:col>
      <xdr:colOff>266700</xdr:colOff>
      <xdr:row>81</xdr:row>
      <xdr:rowOff>114300</xdr:rowOff>
    </xdr:to>
    <xdr:sp macro="" textlink="">
      <xdr:nvSpPr>
        <xdr:cNvPr id="232" name="Freeform 1205"/>
        <xdr:cNvSpPr>
          <a:spLocks/>
        </xdr:cNvSpPr>
      </xdr:nvSpPr>
      <xdr:spPr bwMode="auto">
        <a:xfrm>
          <a:off x="2981325" y="1390650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7</xdr:col>
      <xdr:colOff>352425</xdr:colOff>
      <xdr:row>81</xdr:row>
      <xdr:rowOff>76200</xdr:rowOff>
    </xdr:from>
    <xdr:to>
      <xdr:col>7</xdr:col>
      <xdr:colOff>438150</xdr:colOff>
      <xdr:row>81</xdr:row>
      <xdr:rowOff>85725</xdr:rowOff>
    </xdr:to>
    <xdr:sp macro="" textlink="">
      <xdr:nvSpPr>
        <xdr:cNvPr id="233" name="Freeform 1206"/>
        <xdr:cNvSpPr>
          <a:spLocks/>
        </xdr:cNvSpPr>
      </xdr:nvSpPr>
      <xdr:spPr bwMode="auto">
        <a:xfrm>
          <a:off x="3162300" y="1390650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7</xdr:col>
      <xdr:colOff>247650</xdr:colOff>
      <xdr:row>82</xdr:row>
      <xdr:rowOff>66675</xdr:rowOff>
    </xdr:from>
    <xdr:to>
      <xdr:col>7</xdr:col>
      <xdr:colOff>409575</xdr:colOff>
      <xdr:row>82</xdr:row>
      <xdr:rowOff>114300</xdr:rowOff>
    </xdr:to>
    <xdr:sp macro="" textlink="">
      <xdr:nvSpPr>
        <xdr:cNvPr id="234" name="Freeform 1207"/>
        <xdr:cNvSpPr>
          <a:spLocks/>
        </xdr:cNvSpPr>
      </xdr:nvSpPr>
      <xdr:spPr bwMode="auto">
        <a:xfrm>
          <a:off x="3057525" y="1414462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7</xdr:col>
      <xdr:colOff>295275</xdr:colOff>
      <xdr:row>81</xdr:row>
      <xdr:rowOff>200025</xdr:rowOff>
    </xdr:from>
    <xdr:to>
      <xdr:col>7</xdr:col>
      <xdr:colOff>323850</xdr:colOff>
      <xdr:row>82</xdr:row>
      <xdr:rowOff>104775</xdr:rowOff>
    </xdr:to>
    <xdr:sp macro="" textlink="">
      <xdr:nvSpPr>
        <xdr:cNvPr id="235" name="Freeform 1208"/>
        <xdr:cNvSpPr>
          <a:spLocks/>
        </xdr:cNvSpPr>
      </xdr:nvSpPr>
      <xdr:spPr bwMode="auto">
        <a:xfrm>
          <a:off x="3105150" y="1403032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8</xdr:col>
      <xdr:colOff>95250</xdr:colOff>
      <xdr:row>86</xdr:row>
      <xdr:rowOff>352425</xdr:rowOff>
    </xdr:from>
    <xdr:to>
      <xdr:col>9</xdr:col>
      <xdr:colOff>114300</xdr:colOff>
      <xdr:row>88</xdr:row>
      <xdr:rowOff>19050</xdr:rowOff>
    </xdr:to>
    <xdr:sp macro="" textlink="">
      <xdr:nvSpPr>
        <xdr:cNvPr id="236" name="Freeform 1209"/>
        <xdr:cNvSpPr>
          <a:spLocks/>
        </xdr:cNvSpPr>
      </xdr:nvSpPr>
      <xdr:spPr bwMode="auto">
        <a:xfrm>
          <a:off x="3629025" y="15649575"/>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7</xdr:col>
      <xdr:colOff>209550</xdr:colOff>
      <xdr:row>81</xdr:row>
      <xdr:rowOff>123825</xdr:rowOff>
    </xdr:from>
    <xdr:to>
      <xdr:col>7</xdr:col>
      <xdr:colOff>304800</xdr:colOff>
      <xdr:row>81</xdr:row>
      <xdr:rowOff>200025</xdr:rowOff>
    </xdr:to>
    <xdr:sp macro="" textlink="">
      <xdr:nvSpPr>
        <xdr:cNvPr id="237" name="Freeform 1210"/>
        <xdr:cNvSpPr>
          <a:spLocks/>
        </xdr:cNvSpPr>
      </xdr:nvSpPr>
      <xdr:spPr bwMode="auto">
        <a:xfrm>
          <a:off x="3019425" y="1395412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7</xdr:col>
      <xdr:colOff>361950</xdr:colOff>
      <xdr:row>81</xdr:row>
      <xdr:rowOff>133350</xdr:rowOff>
    </xdr:from>
    <xdr:to>
      <xdr:col>7</xdr:col>
      <xdr:colOff>457200</xdr:colOff>
      <xdr:row>81</xdr:row>
      <xdr:rowOff>209550</xdr:rowOff>
    </xdr:to>
    <xdr:sp macro="" textlink="">
      <xdr:nvSpPr>
        <xdr:cNvPr id="238" name="Freeform 1211"/>
        <xdr:cNvSpPr>
          <a:spLocks/>
        </xdr:cNvSpPr>
      </xdr:nvSpPr>
      <xdr:spPr bwMode="auto">
        <a:xfrm>
          <a:off x="3171825" y="139636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6</xdr:col>
      <xdr:colOff>209550</xdr:colOff>
      <xdr:row>87</xdr:row>
      <xdr:rowOff>114300</xdr:rowOff>
    </xdr:from>
    <xdr:to>
      <xdr:col>9</xdr:col>
      <xdr:colOff>9525</xdr:colOff>
      <xdr:row>92</xdr:row>
      <xdr:rowOff>209550</xdr:rowOff>
    </xdr:to>
    <xdr:sp macro="" textlink="">
      <xdr:nvSpPr>
        <xdr:cNvPr id="239" name="Freeform 1212"/>
        <xdr:cNvSpPr>
          <a:spLocks/>
        </xdr:cNvSpPr>
      </xdr:nvSpPr>
      <xdr:spPr bwMode="auto">
        <a:xfrm>
          <a:off x="2752725" y="15773400"/>
          <a:ext cx="10572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7</xdr:col>
      <xdr:colOff>47625</xdr:colOff>
      <xdr:row>88</xdr:row>
      <xdr:rowOff>28575</xdr:rowOff>
    </xdr:from>
    <xdr:to>
      <xdr:col>7</xdr:col>
      <xdr:colOff>238125</xdr:colOff>
      <xdr:row>89</xdr:row>
      <xdr:rowOff>0</xdr:rowOff>
    </xdr:to>
    <xdr:sp macro="" textlink="">
      <xdr:nvSpPr>
        <xdr:cNvPr id="240" name="Freeform 1213"/>
        <xdr:cNvSpPr>
          <a:spLocks/>
        </xdr:cNvSpPr>
      </xdr:nvSpPr>
      <xdr:spPr bwMode="auto">
        <a:xfrm>
          <a:off x="2857500" y="158400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7</xdr:col>
      <xdr:colOff>419100</xdr:colOff>
      <xdr:row>88</xdr:row>
      <xdr:rowOff>19050</xdr:rowOff>
    </xdr:from>
    <xdr:to>
      <xdr:col>7</xdr:col>
      <xdr:colOff>609600</xdr:colOff>
      <xdr:row>88</xdr:row>
      <xdr:rowOff>238125</xdr:rowOff>
    </xdr:to>
    <xdr:sp macro="" textlink="">
      <xdr:nvSpPr>
        <xdr:cNvPr id="241" name="Freeform 1214"/>
        <xdr:cNvSpPr>
          <a:spLocks/>
        </xdr:cNvSpPr>
      </xdr:nvSpPr>
      <xdr:spPr bwMode="auto">
        <a:xfrm>
          <a:off x="3228975" y="158305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5</xdr:col>
      <xdr:colOff>352425</xdr:colOff>
      <xdr:row>92</xdr:row>
      <xdr:rowOff>123825</xdr:rowOff>
    </xdr:from>
    <xdr:to>
      <xdr:col>7</xdr:col>
      <xdr:colOff>285750</xdr:colOff>
      <xdr:row>94</xdr:row>
      <xdr:rowOff>238125</xdr:rowOff>
    </xdr:to>
    <xdr:sp macro="" textlink="">
      <xdr:nvSpPr>
        <xdr:cNvPr id="242" name="Freeform 1215"/>
        <xdr:cNvSpPr>
          <a:spLocks/>
        </xdr:cNvSpPr>
      </xdr:nvSpPr>
      <xdr:spPr bwMode="auto">
        <a:xfrm>
          <a:off x="2514600" y="16925925"/>
          <a:ext cx="58102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800000"/>
        </a:solidFill>
        <a:ln w="9525">
          <a:solidFill>
            <a:srgbClr val="000000"/>
          </a:solidFill>
          <a:round/>
          <a:headEnd/>
          <a:tailEnd/>
        </a:ln>
      </xdr:spPr>
    </xdr:sp>
    <xdr:clientData/>
  </xdr:twoCellAnchor>
  <xdr:twoCellAnchor>
    <xdr:from>
      <xdr:col>7</xdr:col>
      <xdr:colOff>590550</xdr:colOff>
      <xdr:row>92</xdr:row>
      <xdr:rowOff>142875</xdr:rowOff>
    </xdr:from>
    <xdr:to>
      <xdr:col>9</xdr:col>
      <xdr:colOff>371475</xdr:colOff>
      <xdr:row>94</xdr:row>
      <xdr:rowOff>209550</xdr:rowOff>
    </xdr:to>
    <xdr:sp macro="" textlink="">
      <xdr:nvSpPr>
        <xdr:cNvPr id="243" name="Freeform 1216"/>
        <xdr:cNvSpPr>
          <a:spLocks/>
        </xdr:cNvSpPr>
      </xdr:nvSpPr>
      <xdr:spPr bwMode="auto">
        <a:xfrm>
          <a:off x="3400425" y="16944975"/>
          <a:ext cx="771525" cy="561975"/>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800000"/>
        </a:solidFill>
        <a:ln w="9525">
          <a:solidFill>
            <a:srgbClr val="000000"/>
          </a:solidFill>
          <a:round/>
          <a:headEnd/>
          <a:tailEnd/>
        </a:ln>
      </xdr:spPr>
    </xdr:sp>
    <xdr:clientData/>
  </xdr:twoCellAnchor>
  <xdr:twoCellAnchor>
    <xdr:from>
      <xdr:col>7</xdr:col>
      <xdr:colOff>114300</xdr:colOff>
      <xdr:row>90</xdr:row>
      <xdr:rowOff>95250</xdr:rowOff>
    </xdr:from>
    <xdr:to>
      <xdr:col>7</xdr:col>
      <xdr:colOff>266700</xdr:colOff>
      <xdr:row>91</xdr:row>
      <xdr:rowOff>104775</xdr:rowOff>
    </xdr:to>
    <xdr:sp macro="" textlink="">
      <xdr:nvSpPr>
        <xdr:cNvPr id="244" name="Oval 1217"/>
        <xdr:cNvSpPr>
          <a:spLocks noChangeArrowheads="1"/>
        </xdr:cNvSpPr>
      </xdr:nvSpPr>
      <xdr:spPr bwMode="auto">
        <a:xfrm>
          <a:off x="2924175" y="16402050"/>
          <a:ext cx="152400" cy="257175"/>
        </a:xfrm>
        <a:prstGeom prst="ellipse">
          <a:avLst/>
        </a:prstGeom>
        <a:solidFill>
          <a:srgbClr val="FFCC00"/>
        </a:solidFill>
        <a:ln w="9525">
          <a:solidFill>
            <a:srgbClr val="000000"/>
          </a:solidFill>
          <a:round/>
          <a:headEnd/>
          <a:tailEnd/>
        </a:ln>
      </xdr:spPr>
    </xdr:sp>
    <xdr:clientData/>
  </xdr:twoCellAnchor>
  <xdr:twoCellAnchor>
    <xdr:from>
      <xdr:col>7</xdr:col>
      <xdr:colOff>561975</xdr:colOff>
      <xdr:row>90</xdr:row>
      <xdr:rowOff>85725</xdr:rowOff>
    </xdr:from>
    <xdr:to>
      <xdr:col>8</xdr:col>
      <xdr:colOff>66675</xdr:colOff>
      <xdr:row>91</xdr:row>
      <xdr:rowOff>95250</xdr:rowOff>
    </xdr:to>
    <xdr:sp macro="" textlink="">
      <xdr:nvSpPr>
        <xdr:cNvPr id="245" name="Oval 1218"/>
        <xdr:cNvSpPr>
          <a:spLocks noChangeArrowheads="1"/>
        </xdr:cNvSpPr>
      </xdr:nvSpPr>
      <xdr:spPr bwMode="auto">
        <a:xfrm>
          <a:off x="3371850" y="16392525"/>
          <a:ext cx="228600" cy="257175"/>
        </a:xfrm>
        <a:prstGeom prst="ellipse">
          <a:avLst/>
        </a:prstGeom>
        <a:solidFill>
          <a:srgbClr val="FFCC00"/>
        </a:solidFill>
        <a:ln w="9525">
          <a:solidFill>
            <a:srgbClr val="000000"/>
          </a:solidFill>
          <a:round/>
          <a:headEnd/>
          <a:tailEnd/>
        </a:ln>
      </xdr:spPr>
    </xdr:sp>
    <xdr:clientData/>
  </xdr:twoCellAnchor>
  <xdr:twoCellAnchor>
    <xdr:from>
      <xdr:col>8</xdr:col>
      <xdr:colOff>228600</xdr:colOff>
      <xdr:row>80</xdr:row>
      <xdr:rowOff>114300</xdr:rowOff>
    </xdr:from>
    <xdr:to>
      <xdr:col>10</xdr:col>
      <xdr:colOff>28575</xdr:colOff>
      <xdr:row>87</xdr:row>
      <xdr:rowOff>142875</xdr:rowOff>
    </xdr:to>
    <xdr:sp macro="" textlink="">
      <xdr:nvSpPr>
        <xdr:cNvPr id="246" name="Freeform 1219"/>
        <xdr:cNvSpPr>
          <a:spLocks/>
        </xdr:cNvSpPr>
      </xdr:nvSpPr>
      <xdr:spPr bwMode="auto">
        <a:xfrm>
          <a:off x="3762375" y="13696950"/>
          <a:ext cx="46672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9</xdr:col>
      <xdr:colOff>28575</xdr:colOff>
      <xdr:row>86</xdr:row>
      <xdr:rowOff>180975</xdr:rowOff>
    </xdr:from>
    <xdr:to>
      <xdr:col>9</xdr:col>
      <xdr:colOff>342900</xdr:colOff>
      <xdr:row>94</xdr:row>
      <xdr:rowOff>0</xdr:rowOff>
    </xdr:to>
    <xdr:sp macro="" textlink="">
      <xdr:nvSpPr>
        <xdr:cNvPr id="247" name="Freeform 1220"/>
        <xdr:cNvSpPr>
          <a:spLocks/>
        </xdr:cNvSpPr>
      </xdr:nvSpPr>
      <xdr:spPr bwMode="auto">
        <a:xfrm>
          <a:off x="3829050" y="15478125"/>
          <a:ext cx="31432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3</xdr:col>
      <xdr:colOff>85725</xdr:colOff>
      <xdr:row>80</xdr:row>
      <xdr:rowOff>0</xdr:rowOff>
    </xdr:from>
    <xdr:to>
      <xdr:col>7</xdr:col>
      <xdr:colOff>19050</xdr:colOff>
      <xdr:row>86</xdr:row>
      <xdr:rowOff>142875</xdr:rowOff>
    </xdr:to>
    <xdr:sp macro="" textlink="">
      <xdr:nvSpPr>
        <xdr:cNvPr id="248" name="Freeform 1221"/>
        <xdr:cNvSpPr>
          <a:spLocks/>
        </xdr:cNvSpPr>
      </xdr:nvSpPr>
      <xdr:spPr bwMode="auto">
        <a:xfrm>
          <a:off x="1295400" y="13582650"/>
          <a:ext cx="1533525" cy="185737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CC00"/>
        </a:solidFill>
        <a:ln w="9525">
          <a:solidFill>
            <a:srgbClr val="000000"/>
          </a:solidFill>
          <a:round/>
          <a:headEnd/>
          <a:tailEnd/>
        </a:ln>
      </xdr:spPr>
    </xdr:sp>
    <xdr:clientData/>
  </xdr:twoCellAnchor>
  <xdr:twoCellAnchor>
    <xdr:from>
      <xdr:col>2</xdr:col>
      <xdr:colOff>142875</xdr:colOff>
      <xdr:row>86</xdr:row>
      <xdr:rowOff>171450</xdr:rowOff>
    </xdr:from>
    <xdr:to>
      <xdr:col>5</xdr:col>
      <xdr:colOff>76200</xdr:colOff>
      <xdr:row>92</xdr:row>
      <xdr:rowOff>238125</xdr:rowOff>
    </xdr:to>
    <xdr:sp macro="" textlink="">
      <xdr:nvSpPr>
        <xdr:cNvPr id="249" name="Freeform 1222"/>
        <xdr:cNvSpPr>
          <a:spLocks/>
        </xdr:cNvSpPr>
      </xdr:nvSpPr>
      <xdr:spPr bwMode="auto">
        <a:xfrm>
          <a:off x="704850" y="15468600"/>
          <a:ext cx="153352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7</xdr:col>
      <xdr:colOff>38100</xdr:colOff>
      <xdr:row>78</xdr:row>
      <xdr:rowOff>219075</xdr:rowOff>
    </xdr:from>
    <xdr:to>
      <xdr:col>8</xdr:col>
      <xdr:colOff>28575</xdr:colOff>
      <xdr:row>81</xdr:row>
      <xdr:rowOff>9525</xdr:rowOff>
    </xdr:to>
    <xdr:sp macro="" textlink="">
      <xdr:nvSpPr>
        <xdr:cNvPr id="250" name="Freeform 1223"/>
        <xdr:cNvSpPr>
          <a:spLocks/>
        </xdr:cNvSpPr>
      </xdr:nvSpPr>
      <xdr:spPr bwMode="auto">
        <a:xfrm>
          <a:off x="2847975" y="13306425"/>
          <a:ext cx="714375" cy="533400"/>
        </a:xfrm>
        <a:custGeom>
          <a:avLst/>
          <a:gdLst>
            <a:gd name="T0" fmla="*/ 0 w 67"/>
            <a:gd name="T1" fmla="*/ 2147483647 h 56"/>
            <a:gd name="T2" fmla="*/ 2147483647 w 67"/>
            <a:gd name="T3" fmla="*/ 2147483647 h 56"/>
            <a:gd name="T4" fmla="*/ 2147483647 w 67"/>
            <a:gd name="T5" fmla="*/ 2147483647 h 56"/>
            <a:gd name="T6" fmla="*/ 2147483647 w 67"/>
            <a:gd name="T7" fmla="*/ 2147483647 h 56"/>
            <a:gd name="T8" fmla="*/ 2147483647 w 67"/>
            <a:gd name="T9" fmla="*/ 2147483647 h 56"/>
            <a:gd name="T10" fmla="*/ 2147483647 w 67"/>
            <a:gd name="T11" fmla="*/ 2147483647 h 56"/>
            <a:gd name="T12" fmla="*/ 2147483647 w 67"/>
            <a:gd name="T13" fmla="*/ 2147483647 h 56"/>
            <a:gd name="T14" fmla="*/ 2147483647 w 67"/>
            <a:gd name="T15" fmla="*/ 2147483647 h 56"/>
            <a:gd name="T16" fmla="*/ 2147483647 w 67"/>
            <a:gd name="T17" fmla="*/ 2147483647 h 56"/>
            <a:gd name="T18" fmla="*/ 2147483647 w 67"/>
            <a:gd name="T19" fmla="*/ 2147483647 h 56"/>
            <a:gd name="T20" fmla="*/ 2147483647 w 67"/>
            <a:gd name="T21" fmla="*/ 2147483647 h 56"/>
            <a:gd name="T22" fmla="*/ 0 w 67"/>
            <a:gd name="T23" fmla="*/ 2147483647 h 5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7"/>
            <a:gd name="T37" fmla="*/ 0 h 56"/>
            <a:gd name="T38" fmla="*/ 67 w 67"/>
            <a:gd name="T39" fmla="*/ 56 h 5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7" h="56">
              <a:moveTo>
                <a:pt x="0" y="55"/>
              </a:moveTo>
              <a:cubicBezTo>
                <a:pt x="3" y="47"/>
                <a:pt x="14" y="36"/>
                <a:pt x="20" y="30"/>
              </a:cubicBezTo>
              <a:cubicBezTo>
                <a:pt x="27" y="9"/>
                <a:pt x="31" y="4"/>
                <a:pt x="54" y="3"/>
              </a:cubicBezTo>
              <a:cubicBezTo>
                <a:pt x="56" y="2"/>
                <a:pt x="62" y="0"/>
                <a:pt x="64" y="3"/>
              </a:cubicBezTo>
              <a:cubicBezTo>
                <a:pt x="67" y="7"/>
                <a:pt x="54" y="12"/>
                <a:pt x="54" y="12"/>
              </a:cubicBezTo>
              <a:cubicBezTo>
                <a:pt x="52" y="19"/>
                <a:pt x="55" y="23"/>
                <a:pt x="57" y="29"/>
              </a:cubicBezTo>
              <a:cubicBezTo>
                <a:pt x="57" y="33"/>
                <a:pt x="62" y="51"/>
                <a:pt x="55" y="53"/>
              </a:cubicBezTo>
              <a:cubicBezTo>
                <a:pt x="47" y="52"/>
                <a:pt x="47" y="48"/>
                <a:pt x="40" y="46"/>
              </a:cubicBezTo>
              <a:cubicBezTo>
                <a:pt x="30" y="46"/>
                <a:pt x="21" y="46"/>
                <a:pt x="11" y="47"/>
              </a:cubicBezTo>
              <a:cubicBezTo>
                <a:pt x="10" y="47"/>
                <a:pt x="10" y="49"/>
                <a:pt x="9" y="50"/>
              </a:cubicBezTo>
              <a:cubicBezTo>
                <a:pt x="8" y="51"/>
                <a:pt x="7" y="51"/>
                <a:pt x="6" y="51"/>
              </a:cubicBezTo>
              <a:cubicBezTo>
                <a:pt x="3" y="56"/>
                <a:pt x="5" y="55"/>
                <a:pt x="0" y="55"/>
              </a:cubicBezTo>
              <a:close/>
            </a:path>
          </a:pathLst>
        </a:custGeom>
        <a:solidFill>
          <a:srgbClr val="00CCFF"/>
        </a:solidFill>
        <a:ln w="9525">
          <a:solidFill>
            <a:srgbClr val="000000"/>
          </a:solidFill>
          <a:round/>
          <a:headEnd/>
          <a:tailEnd/>
        </a:ln>
      </xdr:spPr>
    </xdr:sp>
    <xdr:clientData/>
  </xdr:twoCellAnchor>
  <xdr:twoCellAnchor>
    <xdr:from>
      <xdr:col>2</xdr:col>
      <xdr:colOff>161925</xdr:colOff>
      <xdr:row>79</xdr:row>
      <xdr:rowOff>133350</xdr:rowOff>
    </xdr:from>
    <xdr:to>
      <xdr:col>2</xdr:col>
      <xdr:colOff>561975</xdr:colOff>
      <xdr:row>80</xdr:row>
      <xdr:rowOff>209550</xdr:rowOff>
    </xdr:to>
    <xdr:sp macro="" textlink="">
      <xdr:nvSpPr>
        <xdr:cNvPr id="251" name="Freeform 1224"/>
        <xdr:cNvSpPr>
          <a:spLocks/>
        </xdr:cNvSpPr>
      </xdr:nvSpPr>
      <xdr:spPr bwMode="auto">
        <a:xfrm>
          <a:off x="723900" y="13468350"/>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xdr:col>
      <xdr:colOff>200025</xdr:colOff>
      <xdr:row>80</xdr:row>
      <xdr:rowOff>95250</xdr:rowOff>
    </xdr:from>
    <xdr:to>
      <xdr:col>3</xdr:col>
      <xdr:colOff>85725</xdr:colOff>
      <xdr:row>81</xdr:row>
      <xdr:rowOff>85725</xdr:rowOff>
    </xdr:to>
    <xdr:sp macro="" textlink="">
      <xdr:nvSpPr>
        <xdr:cNvPr id="252" name="AutoShape 1225"/>
        <xdr:cNvSpPr>
          <a:spLocks noChangeArrowheads="1"/>
        </xdr:cNvSpPr>
      </xdr:nvSpPr>
      <xdr:spPr bwMode="auto">
        <a:xfrm>
          <a:off x="495300" y="13677900"/>
          <a:ext cx="800100"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xdr:col>
      <xdr:colOff>85725</xdr:colOff>
      <xdr:row>92</xdr:row>
      <xdr:rowOff>180975</xdr:rowOff>
    </xdr:from>
    <xdr:to>
      <xdr:col>2</xdr:col>
      <xdr:colOff>104775</xdr:colOff>
      <xdr:row>94</xdr:row>
      <xdr:rowOff>95250</xdr:rowOff>
    </xdr:to>
    <xdr:sp macro="" textlink="">
      <xdr:nvSpPr>
        <xdr:cNvPr id="253" name="Freeform 1226"/>
        <xdr:cNvSpPr>
          <a:spLocks/>
        </xdr:cNvSpPr>
      </xdr:nvSpPr>
      <xdr:spPr bwMode="auto">
        <a:xfrm>
          <a:off x="381000" y="16983075"/>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3</xdr:col>
      <xdr:colOff>57150</xdr:colOff>
      <xdr:row>92</xdr:row>
      <xdr:rowOff>190500</xdr:rowOff>
    </xdr:from>
    <xdr:to>
      <xdr:col>4</xdr:col>
      <xdr:colOff>257175</xdr:colOff>
      <xdr:row>94</xdr:row>
      <xdr:rowOff>57150</xdr:rowOff>
    </xdr:to>
    <xdr:sp macro="" textlink="">
      <xdr:nvSpPr>
        <xdr:cNvPr id="254" name="Freeform 1227"/>
        <xdr:cNvSpPr>
          <a:spLocks/>
        </xdr:cNvSpPr>
      </xdr:nvSpPr>
      <xdr:spPr bwMode="auto">
        <a:xfrm>
          <a:off x="1266825" y="16992600"/>
          <a:ext cx="46672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11</xdr:col>
      <xdr:colOff>95250</xdr:colOff>
      <xdr:row>80</xdr:row>
      <xdr:rowOff>200025</xdr:rowOff>
    </xdr:from>
    <xdr:to>
      <xdr:col>11</xdr:col>
      <xdr:colOff>523875</xdr:colOff>
      <xdr:row>82</xdr:row>
      <xdr:rowOff>171450</xdr:rowOff>
    </xdr:to>
    <xdr:sp macro="" textlink="">
      <xdr:nvSpPr>
        <xdr:cNvPr id="255" name="Oval 1228"/>
        <xdr:cNvSpPr>
          <a:spLocks noChangeArrowheads="1"/>
        </xdr:cNvSpPr>
      </xdr:nvSpPr>
      <xdr:spPr bwMode="auto">
        <a:xfrm>
          <a:off x="4562475" y="13782675"/>
          <a:ext cx="428625" cy="466725"/>
        </a:xfrm>
        <a:prstGeom prst="ellipse">
          <a:avLst/>
        </a:prstGeom>
        <a:solidFill>
          <a:srgbClr val="FFFF00"/>
        </a:solidFill>
        <a:ln w="9525">
          <a:solidFill>
            <a:srgbClr val="000000"/>
          </a:solidFill>
          <a:round/>
          <a:headEnd/>
          <a:tailEnd/>
        </a:ln>
      </xdr:spPr>
    </xdr:sp>
    <xdr:clientData/>
  </xdr:twoCellAnchor>
  <xdr:twoCellAnchor>
    <xdr:from>
      <xdr:col>11</xdr:col>
      <xdr:colOff>238125</xdr:colOff>
      <xdr:row>82</xdr:row>
      <xdr:rowOff>171450</xdr:rowOff>
    </xdr:from>
    <xdr:to>
      <xdr:col>11</xdr:col>
      <xdr:colOff>419100</xdr:colOff>
      <xdr:row>84</xdr:row>
      <xdr:rowOff>0</xdr:rowOff>
    </xdr:to>
    <xdr:sp macro="" textlink="">
      <xdr:nvSpPr>
        <xdr:cNvPr id="256" name="Text Box 1229"/>
        <xdr:cNvSpPr txBox="1">
          <a:spLocks noChangeArrowheads="1"/>
        </xdr:cNvSpPr>
      </xdr:nvSpPr>
      <xdr:spPr bwMode="auto">
        <a:xfrm>
          <a:off x="4705350" y="14249400"/>
          <a:ext cx="180975" cy="152400"/>
        </a:xfrm>
        <a:prstGeom prst="rect">
          <a:avLst/>
        </a:prstGeom>
        <a:solidFill>
          <a:srgbClr val="FFFF00"/>
        </a:solidFill>
        <a:ln w="9525">
          <a:noFill/>
          <a:miter lim="800000"/>
          <a:headEnd/>
          <a:tailEnd/>
        </a:ln>
      </xdr:spPr>
    </xdr:sp>
    <xdr:clientData/>
  </xdr:twoCellAnchor>
  <xdr:twoCellAnchor>
    <xdr:from>
      <xdr:col>10</xdr:col>
      <xdr:colOff>19050</xdr:colOff>
      <xdr:row>82</xdr:row>
      <xdr:rowOff>142875</xdr:rowOff>
    </xdr:from>
    <xdr:to>
      <xdr:col>11</xdr:col>
      <xdr:colOff>276225</xdr:colOff>
      <xdr:row>84</xdr:row>
      <xdr:rowOff>28575</xdr:rowOff>
    </xdr:to>
    <xdr:sp macro="" textlink="">
      <xdr:nvSpPr>
        <xdr:cNvPr id="257" name="Freeform 1230"/>
        <xdr:cNvSpPr>
          <a:spLocks/>
        </xdr:cNvSpPr>
      </xdr:nvSpPr>
      <xdr:spPr bwMode="auto">
        <a:xfrm>
          <a:off x="4219575" y="14220825"/>
          <a:ext cx="523875" cy="20955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11</xdr:col>
      <xdr:colOff>409575</xdr:colOff>
      <xdr:row>82</xdr:row>
      <xdr:rowOff>161925</xdr:rowOff>
    </xdr:from>
    <xdr:to>
      <xdr:col>12</xdr:col>
      <xdr:colOff>295275</xdr:colOff>
      <xdr:row>84</xdr:row>
      <xdr:rowOff>9525</xdr:rowOff>
    </xdr:to>
    <xdr:sp macro="" textlink="">
      <xdr:nvSpPr>
        <xdr:cNvPr id="258" name="Freeform 1231"/>
        <xdr:cNvSpPr>
          <a:spLocks/>
        </xdr:cNvSpPr>
      </xdr:nvSpPr>
      <xdr:spPr bwMode="auto">
        <a:xfrm>
          <a:off x="4876800" y="14239875"/>
          <a:ext cx="609600"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9</xdr:col>
      <xdr:colOff>171450</xdr:colOff>
      <xdr:row>83</xdr:row>
      <xdr:rowOff>38100</xdr:rowOff>
    </xdr:from>
    <xdr:to>
      <xdr:col>11</xdr:col>
      <xdr:colOff>0</xdr:colOff>
      <xdr:row>87</xdr:row>
      <xdr:rowOff>76200</xdr:rowOff>
    </xdr:to>
    <xdr:sp macro="" textlink="">
      <xdr:nvSpPr>
        <xdr:cNvPr id="259" name="Freeform 1232"/>
        <xdr:cNvSpPr>
          <a:spLocks/>
        </xdr:cNvSpPr>
      </xdr:nvSpPr>
      <xdr:spPr bwMode="auto">
        <a:xfrm>
          <a:off x="3971925" y="14363700"/>
          <a:ext cx="495300" cy="137160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FF0000"/>
        </a:solidFill>
        <a:ln w="9525">
          <a:solidFill>
            <a:srgbClr val="000000"/>
          </a:solidFill>
          <a:round/>
          <a:headEnd/>
          <a:tailEnd/>
        </a:ln>
      </xdr:spPr>
    </xdr:sp>
    <xdr:clientData/>
  </xdr:twoCellAnchor>
  <xdr:twoCellAnchor>
    <xdr:from>
      <xdr:col>10</xdr:col>
      <xdr:colOff>19050</xdr:colOff>
      <xdr:row>87</xdr:row>
      <xdr:rowOff>38100</xdr:rowOff>
    </xdr:from>
    <xdr:to>
      <xdr:col>10</xdr:col>
      <xdr:colOff>171450</xdr:colOff>
      <xdr:row>88</xdr:row>
      <xdr:rowOff>152400</xdr:rowOff>
    </xdr:to>
    <xdr:sp macro="" textlink="">
      <xdr:nvSpPr>
        <xdr:cNvPr id="260" name="Freeform 1233"/>
        <xdr:cNvSpPr>
          <a:spLocks/>
        </xdr:cNvSpPr>
      </xdr:nvSpPr>
      <xdr:spPr bwMode="auto">
        <a:xfrm>
          <a:off x="4219575" y="15697200"/>
          <a:ext cx="152400" cy="26670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11</xdr:col>
      <xdr:colOff>609600</xdr:colOff>
      <xdr:row>83</xdr:row>
      <xdr:rowOff>66675</xdr:rowOff>
    </xdr:from>
    <xdr:to>
      <xdr:col>13</xdr:col>
      <xdr:colOff>85725</xdr:colOff>
      <xdr:row>87</xdr:row>
      <xdr:rowOff>28575</xdr:rowOff>
    </xdr:to>
    <xdr:sp macro="" textlink="">
      <xdr:nvSpPr>
        <xdr:cNvPr id="261" name="Freeform 1234"/>
        <xdr:cNvSpPr>
          <a:spLocks/>
        </xdr:cNvSpPr>
      </xdr:nvSpPr>
      <xdr:spPr bwMode="auto">
        <a:xfrm>
          <a:off x="5076825" y="14392275"/>
          <a:ext cx="523875" cy="129540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FF0000"/>
        </a:solidFill>
        <a:ln w="9525">
          <a:solidFill>
            <a:srgbClr val="000000"/>
          </a:solidFill>
          <a:round/>
          <a:headEnd/>
          <a:tailEnd/>
        </a:ln>
      </xdr:spPr>
    </xdr:sp>
    <xdr:clientData/>
  </xdr:twoCellAnchor>
  <xdr:twoCellAnchor>
    <xdr:from>
      <xdr:col>10</xdr:col>
      <xdr:colOff>200025</xdr:colOff>
      <xdr:row>80</xdr:row>
      <xdr:rowOff>95250</xdr:rowOff>
    </xdr:from>
    <xdr:to>
      <xdr:col>12</xdr:col>
      <xdr:colOff>9525</xdr:colOff>
      <xdr:row>82</xdr:row>
      <xdr:rowOff>209550</xdr:rowOff>
    </xdr:to>
    <xdr:sp macro="" textlink="">
      <xdr:nvSpPr>
        <xdr:cNvPr id="262" name="Freeform 1235"/>
        <xdr:cNvSpPr>
          <a:spLocks/>
        </xdr:cNvSpPr>
      </xdr:nvSpPr>
      <xdr:spPr bwMode="auto">
        <a:xfrm>
          <a:off x="4400550" y="13677900"/>
          <a:ext cx="8001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11</xdr:col>
      <xdr:colOff>200025</xdr:colOff>
      <xdr:row>81</xdr:row>
      <xdr:rowOff>104775</xdr:rowOff>
    </xdr:from>
    <xdr:to>
      <xdr:col>11</xdr:col>
      <xdr:colOff>266700</xdr:colOff>
      <xdr:row>81</xdr:row>
      <xdr:rowOff>228600</xdr:rowOff>
    </xdr:to>
    <xdr:sp macro="" textlink="">
      <xdr:nvSpPr>
        <xdr:cNvPr id="263" name="Freeform 1236"/>
        <xdr:cNvSpPr>
          <a:spLocks/>
        </xdr:cNvSpPr>
      </xdr:nvSpPr>
      <xdr:spPr bwMode="auto">
        <a:xfrm>
          <a:off x="4667250" y="139350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352425</xdr:colOff>
      <xdr:row>81</xdr:row>
      <xdr:rowOff>104775</xdr:rowOff>
    </xdr:from>
    <xdr:to>
      <xdr:col>11</xdr:col>
      <xdr:colOff>419100</xdr:colOff>
      <xdr:row>81</xdr:row>
      <xdr:rowOff>228600</xdr:rowOff>
    </xdr:to>
    <xdr:sp macro="" textlink="">
      <xdr:nvSpPr>
        <xdr:cNvPr id="264" name="Freeform 1237"/>
        <xdr:cNvSpPr>
          <a:spLocks/>
        </xdr:cNvSpPr>
      </xdr:nvSpPr>
      <xdr:spPr bwMode="auto">
        <a:xfrm>
          <a:off x="4819650" y="139350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171450</xdr:colOff>
      <xdr:row>81</xdr:row>
      <xdr:rowOff>76200</xdr:rowOff>
    </xdr:from>
    <xdr:to>
      <xdr:col>11</xdr:col>
      <xdr:colOff>266700</xdr:colOff>
      <xdr:row>81</xdr:row>
      <xdr:rowOff>114300</xdr:rowOff>
    </xdr:to>
    <xdr:sp macro="" textlink="">
      <xdr:nvSpPr>
        <xdr:cNvPr id="265" name="Freeform 1238"/>
        <xdr:cNvSpPr>
          <a:spLocks/>
        </xdr:cNvSpPr>
      </xdr:nvSpPr>
      <xdr:spPr bwMode="auto">
        <a:xfrm>
          <a:off x="4638675" y="1390650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11</xdr:col>
      <xdr:colOff>352425</xdr:colOff>
      <xdr:row>81</xdr:row>
      <xdr:rowOff>76200</xdr:rowOff>
    </xdr:from>
    <xdr:to>
      <xdr:col>11</xdr:col>
      <xdr:colOff>438150</xdr:colOff>
      <xdr:row>81</xdr:row>
      <xdr:rowOff>85725</xdr:rowOff>
    </xdr:to>
    <xdr:sp macro="" textlink="">
      <xdr:nvSpPr>
        <xdr:cNvPr id="266" name="Freeform 1239"/>
        <xdr:cNvSpPr>
          <a:spLocks/>
        </xdr:cNvSpPr>
      </xdr:nvSpPr>
      <xdr:spPr bwMode="auto">
        <a:xfrm>
          <a:off x="4819650" y="1390650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11</xdr:col>
      <xdr:colOff>247650</xdr:colOff>
      <xdr:row>82</xdr:row>
      <xdr:rowOff>66675</xdr:rowOff>
    </xdr:from>
    <xdr:to>
      <xdr:col>11</xdr:col>
      <xdr:colOff>409575</xdr:colOff>
      <xdr:row>82</xdr:row>
      <xdr:rowOff>114300</xdr:rowOff>
    </xdr:to>
    <xdr:sp macro="" textlink="">
      <xdr:nvSpPr>
        <xdr:cNvPr id="267" name="Freeform 1240"/>
        <xdr:cNvSpPr>
          <a:spLocks/>
        </xdr:cNvSpPr>
      </xdr:nvSpPr>
      <xdr:spPr bwMode="auto">
        <a:xfrm>
          <a:off x="4714875" y="1414462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11</xdr:col>
      <xdr:colOff>295275</xdr:colOff>
      <xdr:row>81</xdr:row>
      <xdr:rowOff>200025</xdr:rowOff>
    </xdr:from>
    <xdr:to>
      <xdr:col>11</xdr:col>
      <xdr:colOff>323850</xdr:colOff>
      <xdr:row>82</xdr:row>
      <xdr:rowOff>104775</xdr:rowOff>
    </xdr:to>
    <xdr:sp macro="" textlink="">
      <xdr:nvSpPr>
        <xdr:cNvPr id="268" name="Freeform 1241"/>
        <xdr:cNvSpPr>
          <a:spLocks/>
        </xdr:cNvSpPr>
      </xdr:nvSpPr>
      <xdr:spPr bwMode="auto">
        <a:xfrm>
          <a:off x="4762500" y="1403032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12</xdr:col>
      <xdr:colOff>95250</xdr:colOff>
      <xdr:row>86</xdr:row>
      <xdr:rowOff>352425</xdr:rowOff>
    </xdr:from>
    <xdr:to>
      <xdr:col>13</xdr:col>
      <xdr:colOff>114300</xdr:colOff>
      <xdr:row>88</xdr:row>
      <xdr:rowOff>114300</xdr:rowOff>
    </xdr:to>
    <xdr:sp macro="" textlink="">
      <xdr:nvSpPr>
        <xdr:cNvPr id="269" name="Freeform 1242"/>
        <xdr:cNvSpPr>
          <a:spLocks/>
        </xdr:cNvSpPr>
      </xdr:nvSpPr>
      <xdr:spPr bwMode="auto">
        <a:xfrm>
          <a:off x="5286375" y="15649575"/>
          <a:ext cx="342900" cy="27622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11</xdr:col>
      <xdr:colOff>209550</xdr:colOff>
      <xdr:row>81</xdr:row>
      <xdr:rowOff>123825</xdr:rowOff>
    </xdr:from>
    <xdr:to>
      <xdr:col>11</xdr:col>
      <xdr:colOff>304800</xdr:colOff>
      <xdr:row>81</xdr:row>
      <xdr:rowOff>200025</xdr:rowOff>
    </xdr:to>
    <xdr:sp macro="" textlink="">
      <xdr:nvSpPr>
        <xdr:cNvPr id="270" name="Freeform 1243"/>
        <xdr:cNvSpPr>
          <a:spLocks/>
        </xdr:cNvSpPr>
      </xdr:nvSpPr>
      <xdr:spPr bwMode="auto">
        <a:xfrm>
          <a:off x="4676775" y="1395412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11</xdr:col>
      <xdr:colOff>361950</xdr:colOff>
      <xdr:row>81</xdr:row>
      <xdr:rowOff>133350</xdr:rowOff>
    </xdr:from>
    <xdr:to>
      <xdr:col>11</xdr:col>
      <xdr:colOff>457200</xdr:colOff>
      <xdr:row>81</xdr:row>
      <xdr:rowOff>209550</xdr:rowOff>
    </xdr:to>
    <xdr:sp macro="" textlink="">
      <xdr:nvSpPr>
        <xdr:cNvPr id="271" name="Freeform 1244"/>
        <xdr:cNvSpPr>
          <a:spLocks/>
        </xdr:cNvSpPr>
      </xdr:nvSpPr>
      <xdr:spPr bwMode="auto">
        <a:xfrm>
          <a:off x="4829175" y="139636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10</xdr:col>
      <xdr:colOff>209550</xdr:colOff>
      <xdr:row>87</xdr:row>
      <xdr:rowOff>114300</xdr:rowOff>
    </xdr:from>
    <xdr:to>
      <xdr:col>13</xdr:col>
      <xdr:colOff>9525</xdr:colOff>
      <xdr:row>92</xdr:row>
      <xdr:rowOff>209550</xdr:rowOff>
    </xdr:to>
    <xdr:sp macro="" textlink="">
      <xdr:nvSpPr>
        <xdr:cNvPr id="272" name="Freeform 1245"/>
        <xdr:cNvSpPr>
          <a:spLocks/>
        </xdr:cNvSpPr>
      </xdr:nvSpPr>
      <xdr:spPr bwMode="auto">
        <a:xfrm>
          <a:off x="4410075" y="15773400"/>
          <a:ext cx="111442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00CCFF"/>
        </a:solidFill>
        <a:ln w="9525">
          <a:solidFill>
            <a:srgbClr val="000000"/>
          </a:solidFill>
          <a:round/>
          <a:headEnd/>
          <a:tailEnd/>
        </a:ln>
      </xdr:spPr>
    </xdr:sp>
    <xdr:clientData/>
  </xdr:twoCellAnchor>
  <xdr:twoCellAnchor>
    <xdr:from>
      <xdr:col>11</xdr:col>
      <xdr:colOff>47625</xdr:colOff>
      <xdr:row>88</xdr:row>
      <xdr:rowOff>28575</xdr:rowOff>
    </xdr:from>
    <xdr:to>
      <xdr:col>11</xdr:col>
      <xdr:colOff>238125</xdr:colOff>
      <xdr:row>89</xdr:row>
      <xdr:rowOff>0</xdr:rowOff>
    </xdr:to>
    <xdr:sp macro="" textlink="">
      <xdr:nvSpPr>
        <xdr:cNvPr id="273" name="Freeform 1246"/>
        <xdr:cNvSpPr>
          <a:spLocks/>
        </xdr:cNvSpPr>
      </xdr:nvSpPr>
      <xdr:spPr bwMode="auto">
        <a:xfrm>
          <a:off x="4514850" y="158400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11</xdr:col>
      <xdr:colOff>419100</xdr:colOff>
      <xdr:row>88</xdr:row>
      <xdr:rowOff>19050</xdr:rowOff>
    </xdr:from>
    <xdr:to>
      <xdr:col>11</xdr:col>
      <xdr:colOff>609600</xdr:colOff>
      <xdr:row>88</xdr:row>
      <xdr:rowOff>238125</xdr:rowOff>
    </xdr:to>
    <xdr:sp macro="" textlink="">
      <xdr:nvSpPr>
        <xdr:cNvPr id="274" name="Freeform 1247"/>
        <xdr:cNvSpPr>
          <a:spLocks/>
        </xdr:cNvSpPr>
      </xdr:nvSpPr>
      <xdr:spPr bwMode="auto">
        <a:xfrm>
          <a:off x="4886325" y="158305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9</xdr:col>
      <xdr:colOff>352425</xdr:colOff>
      <xdr:row>92</xdr:row>
      <xdr:rowOff>123825</xdr:rowOff>
    </xdr:from>
    <xdr:to>
      <xdr:col>11</xdr:col>
      <xdr:colOff>285750</xdr:colOff>
      <xdr:row>94</xdr:row>
      <xdr:rowOff>238125</xdr:rowOff>
    </xdr:to>
    <xdr:sp macro="" textlink="">
      <xdr:nvSpPr>
        <xdr:cNvPr id="275" name="Freeform 1248"/>
        <xdr:cNvSpPr>
          <a:spLocks/>
        </xdr:cNvSpPr>
      </xdr:nvSpPr>
      <xdr:spPr bwMode="auto">
        <a:xfrm>
          <a:off x="4152900" y="16925925"/>
          <a:ext cx="60007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99CC00"/>
        </a:solidFill>
        <a:ln w="9525">
          <a:solidFill>
            <a:srgbClr val="000000"/>
          </a:solidFill>
          <a:round/>
          <a:headEnd/>
          <a:tailEnd/>
        </a:ln>
      </xdr:spPr>
    </xdr:sp>
    <xdr:clientData/>
  </xdr:twoCellAnchor>
  <xdr:twoCellAnchor>
    <xdr:from>
      <xdr:col>11</xdr:col>
      <xdr:colOff>590550</xdr:colOff>
      <xdr:row>92</xdr:row>
      <xdr:rowOff>171450</xdr:rowOff>
    </xdr:from>
    <xdr:to>
      <xdr:col>13</xdr:col>
      <xdr:colOff>371475</xdr:colOff>
      <xdr:row>94</xdr:row>
      <xdr:rowOff>209550</xdr:rowOff>
    </xdr:to>
    <xdr:sp macro="" textlink="">
      <xdr:nvSpPr>
        <xdr:cNvPr id="276" name="Freeform 1249"/>
        <xdr:cNvSpPr>
          <a:spLocks/>
        </xdr:cNvSpPr>
      </xdr:nvSpPr>
      <xdr:spPr bwMode="auto">
        <a:xfrm>
          <a:off x="5057775" y="16973550"/>
          <a:ext cx="828675"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99CC00"/>
        </a:solidFill>
        <a:ln w="9525">
          <a:solidFill>
            <a:srgbClr val="000000"/>
          </a:solidFill>
          <a:round/>
          <a:headEnd/>
          <a:tailEnd/>
        </a:ln>
      </xdr:spPr>
    </xdr:sp>
    <xdr:clientData/>
  </xdr:twoCellAnchor>
  <xdr:twoCellAnchor>
    <xdr:from>
      <xdr:col>11</xdr:col>
      <xdr:colOff>114300</xdr:colOff>
      <xdr:row>90</xdr:row>
      <xdr:rowOff>95250</xdr:rowOff>
    </xdr:from>
    <xdr:to>
      <xdr:col>11</xdr:col>
      <xdr:colOff>266700</xdr:colOff>
      <xdr:row>91</xdr:row>
      <xdr:rowOff>104775</xdr:rowOff>
    </xdr:to>
    <xdr:sp macro="" textlink="">
      <xdr:nvSpPr>
        <xdr:cNvPr id="277" name="Oval 1250"/>
        <xdr:cNvSpPr>
          <a:spLocks noChangeArrowheads="1"/>
        </xdr:cNvSpPr>
      </xdr:nvSpPr>
      <xdr:spPr bwMode="auto">
        <a:xfrm>
          <a:off x="4581525" y="16402050"/>
          <a:ext cx="152400" cy="257175"/>
        </a:xfrm>
        <a:prstGeom prst="ellipse">
          <a:avLst/>
        </a:prstGeom>
        <a:solidFill>
          <a:srgbClr val="FFCC00"/>
        </a:solidFill>
        <a:ln w="9525">
          <a:solidFill>
            <a:srgbClr val="000000"/>
          </a:solidFill>
          <a:round/>
          <a:headEnd/>
          <a:tailEnd/>
        </a:ln>
      </xdr:spPr>
    </xdr:sp>
    <xdr:clientData/>
  </xdr:twoCellAnchor>
  <xdr:twoCellAnchor>
    <xdr:from>
      <xdr:col>11</xdr:col>
      <xdr:colOff>561975</xdr:colOff>
      <xdr:row>90</xdr:row>
      <xdr:rowOff>85725</xdr:rowOff>
    </xdr:from>
    <xdr:to>
      <xdr:col>12</xdr:col>
      <xdr:colOff>66675</xdr:colOff>
      <xdr:row>91</xdr:row>
      <xdr:rowOff>95250</xdr:rowOff>
    </xdr:to>
    <xdr:sp macro="" textlink="">
      <xdr:nvSpPr>
        <xdr:cNvPr id="278" name="Oval 1251"/>
        <xdr:cNvSpPr>
          <a:spLocks noChangeArrowheads="1"/>
        </xdr:cNvSpPr>
      </xdr:nvSpPr>
      <xdr:spPr bwMode="auto">
        <a:xfrm>
          <a:off x="5029200" y="16392525"/>
          <a:ext cx="228600" cy="257175"/>
        </a:xfrm>
        <a:prstGeom prst="ellipse">
          <a:avLst/>
        </a:prstGeom>
        <a:solidFill>
          <a:srgbClr val="FFCC00"/>
        </a:solidFill>
        <a:ln w="9525">
          <a:solidFill>
            <a:srgbClr val="000000"/>
          </a:solidFill>
          <a:round/>
          <a:headEnd/>
          <a:tailEnd/>
        </a:ln>
      </xdr:spPr>
    </xdr:sp>
    <xdr:clientData/>
  </xdr:twoCellAnchor>
  <xdr:twoCellAnchor>
    <xdr:from>
      <xdr:col>13</xdr:col>
      <xdr:colOff>200025</xdr:colOff>
      <xdr:row>80</xdr:row>
      <xdr:rowOff>114300</xdr:rowOff>
    </xdr:from>
    <xdr:to>
      <xdr:col>14</xdr:col>
      <xdr:colOff>304800</xdr:colOff>
      <xdr:row>87</xdr:row>
      <xdr:rowOff>142875</xdr:rowOff>
    </xdr:to>
    <xdr:sp macro="" textlink="">
      <xdr:nvSpPr>
        <xdr:cNvPr id="279" name="Freeform 1252"/>
        <xdr:cNvSpPr>
          <a:spLocks/>
        </xdr:cNvSpPr>
      </xdr:nvSpPr>
      <xdr:spPr bwMode="auto">
        <a:xfrm>
          <a:off x="5715000" y="13696950"/>
          <a:ext cx="79057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13</xdr:col>
      <xdr:colOff>352425</xdr:colOff>
      <xdr:row>81</xdr:row>
      <xdr:rowOff>19050</xdr:rowOff>
    </xdr:from>
    <xdr:to>
      <xdr:col>14</xdr:col>
      <xdr:colOff>457200</xdr:colOff>
      <xdr:row>88</xdr:row>
      <xdr:rowOff>142875</xdr:rowOff>
    </xdr:to>
    <xdr:sp macro="" textlink="">
      <xdr:nvSpPr>
        <xdr:cNvPr id="280" name="Freeform 1253"/>
        <xdr:cNvSpPr>
          <a:spLocks/>
        </xdr:cNvSpPr>
      </xdr:nvSpPr>
      <xdr:spPr bwMode="auto">
        <a:xfrm>
          <a:off x="5867400" y="13849350"/>
          <a:ext cx="666750"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11</xdr:col>
      <xdr:colOff>142875</xdr:colOff>
      <xdr:row>86</xdr:row>
      <xdr:rowOff>171450</xdr:rowOff>
    </xdr:from>
    <xdr:to>
      <xdr:col>14</xdr:col>
      <xdr:colOff>76200</xdr:colOff>
      <xdr:row>92</xdr:row>
      <xdr:rowOff>238125</xdr:rowOff>
    </xdr:to>
    <xdr:sp macro="" textlink="">
      <xdr:nvSpPr>
        <xdr:cNvPr id="281" name="Freeform 1254"/>
        <xdr:cNvSpPr>
          <a:spLocks/>
        </xdr:cNvSpPr>
      </xdr:nvSpPr>
      <xdr:spPr bwMode="auto">
        <a:xfrm>
          <a:off x="4610100" y="15468600"/>
          <a:ext cx="166687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11</xdr:col>
      <xdr:colOff>161925</xdr:colOff>
      <xdr:row>79</xdr:row>
      <xdr:rowOff>133350</xdr:rowOff>
    </xdr:from>
    <xdr:to>
      <xdr:col>11</xdr:col>
      <xdr:colOff>561975</xdr:colOff>
      <xdr:row>80</xdr:row>
      <xdr:rowOff>209550</xdr:rowOff>
    </xdr:to>
    <xdr:sp macro="" textlink="">
      <xdr:nvSpPr>
        <xdr:cNvPr id="282" name="Freeform 1255"/>
        <xdr:cNvSpPr>
          <a:spLocks/>
        </xdr:cNvSpPr>
      </xdr:nvSpPr>
      <xdr:spPr bwMode="auto">
        <a:xfrm>
          <a:off x="4629150" y="13468350"/>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10</xdr:col>
      <xdr:colOff>200025</xdr:colOff>
      <xdr:row>80</xdr:row>
      <xdr:rowOff>95250</xdr:rowOff>
    </xdr:from>
    <xdr:to>
      <xdr:col>12</xdr:col>
      <xdr:colOff>85725</xdr:colOff>
      <xdr:row>81</xdr:row>
      <xdr:rowOff>85725</xdr:rowOff>
    </xdr:to>
    <xdr:sp macro="" textlink="">
      <xdr:nvSpPr>
        <xdr:cNvPr id="283" name="AutoShape 1256"/>
        <xdr:cNvSpPr>
          <a:spLocks noChangeArrowheads="1"/>
        </xdr:cNvSpPr>
      </xdr:nvSpPr>
      <xdr:spPr bwMode="auto">
        <a:xfrm>
          <a:off x="4400550" y="13677900"/>
          <a:ext cx="876300"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10</xdr:col>
      <xdr:colOff>85725</xdr:colOff>
      <xdr:row>92</xdr:row>
      <xdr:rowOff>180975</xdr:rowOff>
    </xdr:from>
    <xdr:to>
      <xdr:col>11</xdr:col>
      <xdr:colOff>104775</xdr:colOff>
      <xdr:row>94</xdr:row>
      <xdr:rowOff>95250</xdr:rowOff>
    </xdr:to>
    <xdr:sp macro="" textlink="">
      <xdr:nvSpPr>
        <xdr:cNvPr id="284" name="Freeform 1257"/>
        <xdr:cNvSpPr>
          <a:spLocks/>
        </xdr:cNvSpPr>
      </xdr:nvSpPr>
      <xdr:spPr bwMode="auto">
        <a:xfrm>
          <a:off x="4286250" y="16983075"/>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12</xdr:col>
      <xdr:colOff>57150</xdr:colOff>
      <xdr:row>92</xdr:row>
      <xdr:rowOff>190500</xdr:rowOff>
    </xdr:from>
    <xdr:to>
      <xdr:col>13</xdr:col>
      <xdr:colOff>257175</xdr:colOff>
      <xdr:row>94</xdr:row>
      <xdr:rowOff>57150</xdr:rowOff>
    </xdr:to>
    <xdr:sp macro="" textlink="">
      <xdr:nvSpPr>
        <xdr:cNvPr id="285" name="Freeform 1258"/>
        <xdr:cNvSpPr>
          <a:spLocks/>
        </xdr:cNvSpPr>
      </xdr:nvSpPr>
      <xdr:spPr bwMode="auto">
        <a:xfrm>
          <a:off x="5248275" y="16992600"/>
          <a:ext cx="52387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8</xdr:col>
      <xdr:colOff>0</xdr:colOff>
      <xdr:row>84</xdr:row>
      <xdr:rowOff>28575</xdr:rowOff>
    </xdr:from>
    <xdr:to>
      <xdr:col>9</xdr:col>
      <xdr:colOff>76200</xdr:colOff>
      <xdr:row>87</xdr:row>
      <xdr:rowOff>19050</xdr:rowOff>
    </xdr:to>
    <xdr:sp macro="" textlink="">
      <xdr:nvSpPr>
        <xdr:cNvPr id="286" name="Freeform 1259"/>
        <xdr:cNvSpPr>
          <a:spLocks/>
        </xdr:cNvSpPr>
      </xdr:nvSpPr>
      <xdr:spPr bwMode="auto">
        <a:xfrm>
          <a:off x="3533775" y="14430375"/>
          <a:ext cx="342900" cy="1247775"/>
        </a:xfrm>
        <a:custGeom>
          <a:avLst/>
          <a:gdLst>
            <a:gd name="T0" fmla="*/ 2147483647 w 36"/>
            <a:gd name="T1" fmla="*/ 0 h 101"/>
            <a:gd name="T2" fmla="*/ 2147483647 w 36"/>
            <a:gd name="T3" fmla="*/ 2147483647 h 101"/>
            <a:gd name="T4" fmla="*/ 2147483647 w 36"/>
            <a:gd name="T5" fmla="*/ 2147483647 h 101"/>
            <a:gd name="T6" fmla="*/ 2147483647 w 36"/>
            <a:gd name="T7" fmla="*/ 2147483647 h 101"/>
            <a:gd name="T8" fmla="*/ 2147483647 w 36"/>
            <a:gd name="T9" fmla="*/ 2147483647 h 101"/>
            <a:gd name="T10" fmla="*/ 2147483647 w 36"/>
            <a:gd name="T11" fmla="*/ 2147483647 h 101"/>
            <a:gd name="T12" fmla="*/ 2147483647 w 36"/>
            <a:gd name="T13" fmla="*/ 2147483647 h 101"/>
            <a:gd name="T14" fmla="*/ 0 w 36"/>
            <a:gd name="T15" fmla="*/ 2147483647 h 101"/>
            <a:gd name="T16" fmla="*/ 0 60000 65536"/>
            <a:gd name="T17" fmla="*/ 0 60000 65536"/>
            <a:gd name="T18" fmla="*/ 0 60000 65536"/>
            <a:gd name="T19" fmla="*/ 0 60000 65536"/>
            <a:gd name="T20" fmla="*/ 0 60000 65536"/>
            <a:gd name="T21" fmla="*/ 0 60000 65536"/>
            <a:gd name="T22" fmla="*/ 0 60000 65536"/>
            <a:gd name="T23" fmla="*/ 0 60000 65536"/>
            <a:gd name="T24" fmla="*/ 0 w 36"/>
            <a:gd name="T25" fmla="*/ 0 h 101"/>
            <a:gd name="T26" fmla="*/ 36 w 36"/>
            <a:gd name="T27" fmla="*/ 101 h 10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6" h="101">
              <a:moveTo>
                <a:pt x="28" y="0"/>
              </a:moveTo>
              <a:cubicBezTo>
                <a:pt x="29" y="7"/>
                <a:pt x="29" y="11"/>
                <a:pt x="31" y="17"/>
              </a:cubicBezTo>
              <a:cubicBezTo>
                <a:pt x="32" y="25"/>
                <a:pt x="36" y="30"/>
                <a:pt x="28" y="28"/>
              </a:cubicBezTo>
              <a:cubicBezTo>
                <a:pt x="26" y="21"/>
                <a:pt x="26" y="42"/>
                <a:pt x="23" y="47"/>
              </a:cubicBezTo>
              <a:cubicBezTo>
                <a:pt x="21" y="55"/>
                <a:pt x="23" y="62"/>
                <a:pt x="25" y="70"/>
              </a:cubicBezTo>
              <a:cubicBezTo>
                <a:pt x="26" y="80"/>
                <a:pt x="28" y="86"/>
                <a:pt x="30" y="95"/>
              </a:cubicBezTo>
              <a:cubicBezTo>
                <a:pt x="22" y="101"/>
                <a:pt x="15" y="99"/>
                <a:pt x="5" y="98"/>
              </a:cubicBezTo>
              <a:cubicBezTo>
                <a:pt x="3" y="72"/>
                <a:pt x="0" y="50"/>
                <a:pt x="0" y="23"/>
              </a:cubicBezTo>
            </a:path>
          </a:pathLst>
        </a:custGeom>
        <a:solidFill>
          <a:srgbClr val="00FF00"/>
        </a:solidFill>
        <a:ln w="9525">
          <a:solidFill>
            <a:srgbClr val="000000"/>
          </a:solidFill>
          <a:round/>
          <a:headEnd/>
          <a:tailEnd/>
        </a:ln>
      </xdr:spPr>
    </xdr:sp>
    <xdr:clientData/>
  </xdr:twoCellAnchor>
  <xdr:twoCellAnchor>
    <xdr:from>
      <xdr:col>2</xdr:col>
      <xdr:colOff>342900</xdr:colOff>
      <xdr:row>94</xdr:row>
      <xdr:rowOff>200025</xdr:rowOff>
    </xdr:from>
    <xdr:to>
      <xdr:col>12</xdr:col>
      <xdr:colOff>180975</xdr:colOff>
      <xdr:row>96</xdr:row>
      <xdr:rowOff>28575</xdr:rowOff>
    </xdr:to>
    <xdr:sp macro="" textlink="">
      <xdr:nvSpPr>
        <xdr:cNvPr id="287" name="Freeform 1260"/>
        <xdr:cNvSpPr>
          <a:spLocks/>
        </xdr:cNvSpPr>
      </xdr:nvSpPr>
      <xdr:spPr bwMode="auto">
        <a:xfrm>
          <a:off x="904875" y="17497425"/>
          <a:ext cx="4467225" cy="323850"/>
        </a:xfrm>
        <a:custGeom>
          <a:avLst/>
          <a:gdLst>
            <a:gd name="T0" fmla="*/ 0 w 454"/>
            <a:gd name="T1" fmla="*/ 2147483647 h 34"/>
            <a:gd name="T2" fmla="*/ 2147483647 w 454"/>
            <a:gd name="T3" fmla="*/ 2147483647 h 34"/>
            <a:gd name="T4" fmla="*/ 2147483647 w 454"/>
            <a:gd name="T5" fmla="*/ 2147483647 h 34"/>
            <a:gd name="T6" fmla="*/ 2147483647 w 454"/>
            <a:gd name="T7" fmla="*/ 2147483647 h 34"/>
            <a:gd name="T8" fmla="*/ 2147483647 w 454"/>
            <a:gd name="T9" fmla="*/ 2147483647 h 34"/>
            <a:gd name="T10" fmla="*/ 2147483647 w 454"/>
            <a:gd name="T11" fmla="*/ 0 h 34"/>
            <a:gd name="T12" fmla="*/ 2147483647 w 454"/>
            <a:gd name="T13" fmla="*/ 2147483647 h 34"/>
            <a:gd name="T14" fmla="*/ 2147483647 w 454"/>
            <a:gd name="T15" fmla="*/ 2147483647 h 34"/>
            <a:gd name="T16" fmla="*/ 2147483647 w 454"/>
            <a:gd name="T17" fmla="*/ 2147483647 h 34"/>
            <a:gd name="T18" fmla="*/ 2147483647 w 454"/>
            <a:gd name="T19" fmla="*/ 2147483647 h 34"/>
            <a:gd name="T20" fmla="*/ 2147483647 w 454"/>
            <a:gd name="T21" fmla="*/ 2147483647 h 34"/>
            <a:gd name="T22" fmla="*/ 2147483647 w 454"/>
            <a:gd name="T23" fmla="*/ 2147483647 h 34"/>
            <a:gd name="T24" fmla="*/ 2147483647 w 454"/>
            <a:gd name="T25" fmla="*/ 2147483647 h 34"/>
            <a:gd name="T26" fmla="*/ 2147483647 w 454"/>
            <a:gd name="T27" fmla="*/ 2147483647 h 34"/>
            <a:gd name="T28" fmla="*/ 2147483647 w 454"/>
            <a:gd name="T29" fmla="*/ 2147483647 h 34"/>
            <a:gd name="T30" fmla="*/ 2147483647 w 454"/>
            <a:gd name="T31" fmla="*/ 2147483647 h 34"/>
            <a:gd name="T32" fmla="*/ 2147483647 w 454"/>
            <a:gd name="T33" fmla="*/ 2147483647 h 34"/>
            <a:gd name="T34" fmla="*/ 2147483647 w 454"/>
            <a:gd name="T35" fmla="*/ 2147483647 h 34"/>
            <a:gd name="T36" fmla="*/ 2147483647 w 454"/>
            <a:gd name="T37" fmla="*/ 2147483647 h 34"/>
            <a:gd name="T38" fmla="*/ 2147483647 w 454"/>
            <a:gd name="T39" fmla="*/ 2147483647 h 34"/>
            <a:gd name="T40" fmla="*/ 2147483647 w 454"/>
            <a:gd name="T41" fmla="*/ 2147483647 h 34"/>
            <a:gd name="T42" fmla="*/ 2147483647 w 454"/>
            <a:gd name="T43" fmla="*/ 2147483647 h 34"/>
            <a:gd name="T44" fmla="*/ 2147483647 w 454"/>
            <a:gd name="T45" fmla="*/ 2147483647 h 34"/>
            <a:gd name="T46" fmla="*/ 2147483647 w 454"/>
            <a:gd name="T47" fmla="*/ 2147483647 h 34"/>
            <a:gd name="T48" fmla="*/ 2147483647 w 454"/>
            <a:gd name="T49" fmla="*/ 2147483647 h 34"/>
            <a:gd name="T50" fmla="*/ 2147483647 w 454"/>
            <a:gd name="T51" fmla="*/ 2147483647 h 34"/>
            <a:gd name="T52" fmla="*/ 0 w 454"/>
            <a:gd name="T53" fmla="*/ 2147483647 h 3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454"/>
            <a:gd name="T82" fmla="*/ 0 h 34"/>
            <a:gd name="T83" fmla="*/ 454 w 454"/>
            <a:gd name="T84" fmla="*/ 34 h 34"/>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454" h="34">
              <a:moveTo>
                <a:pt x="0" y="25"/>
              </a:moveTo>
              <a:cubicBezTo>
                <a:pt x="4" y="17"/>
                <a:pt x="8" y="11"/>
                <a:pt x="17" y="9"/>
              </a:cubicBezTo>
              <a:cubicBezTo>
                <a:pt x="68" y="10"/>
                <a:pt x="49" y="6"/>
                <a:pt x="73" y="12"/>
              </a:cubicBezTo>
              <a:cubicBezTo>
                <a:pt x="81" y="14"/>
                <a:pt x="97" y="21"/>
                <a:pt x="97" y="21"/>
              </a:cubicBezTo>
              <a:cubicBezTo>
                <a:pt x="109" y="21"/>
                <a:pt x="121" y="22"/>
                <a:pt x="133" y="20"/>
              </a:cubicBezTo>
              <a:cubicBezTo>
                <a:pt x="138" y="19"/>
                <a:pt x="149" y="2"/>
                <a:pt x="159" y="0"/>
              </a:cubicBezTo>
              <a:cubicBezTo>
                <a:pt x="182" y="2"/>
                <a:pt x="181" y="9"/>
                <a:pt x="199" y="17"/>
              </a:cubicBezTo>
              <a:cubicBezTo>
                <a:pt x="217" y="25"/>
                <a:pt x="238" y="27"/>
                <a:pt x="257" y="28"/>
              </a:cubicBezTo>
              <a:cubicBezTo>
                <a:pt x="271" y="32"/>
                <a:pt x="320" y="27"/>
                <a:pt x="325" y="27"/>
              </a:cubicBezTo>
              <a:cubicBezTo>
                <a:pt x="329" y="26"/>
                <a:pt x="337" y="24"/>
                <a:pt x="337" y="24"/>
              </a:cubicBezTo>
              <a:cubicBezTo>
                <a:pt x="348" y="13"/>
                <a:pt x="358" y="7"/>
                <a:pt x="373" y="5"/>
              </a:cubicBezTo>
              <a:cubicBezTo>
                <a:pt x="412" y="6"/>
                <a:pt x="424" y="6"/>
                <a:pt x="454" y="16"/>
              </a:cubicBezTo>
              <a:cubicBezTo>
                <a:pt x="447" y="18"/>
                <a:pt x="445" y="19"/>
                <a:pt x="436" y="15"/>
              </a:cubicBezTo>
              <a:cubicBezTo>
                <a:pt x="433" y="14"/>
                <a:pt x="430" y="9"/>
                <a:pt x="430" y="9"/>
              </a:cubicBezTo>
              <a:cubicBezTo>
                <a:pt x="405" y="9"/>
                <a:pt x="380" y="9"/>
                <a:pt x="355" y="10"/>
              </a:cubicBezTo>
              <a:cubicBezTo>
                <a:pt x="354" y="10"/>
                <a:pt x="347" y="23"/>
                <a:pt x="343" y="24"/>
              </a:cubicBezTo>
              <a:cubicBezTo>
                <a:pt x="330" y="27"/>
                <a:pt x="318" y="31"/>
                <a:pt x="306" y="34"/>
              </a:cubicBezTo>
              <a:cubicBezTo>
                <a:pt x="275" y="33"/>
                <a:pt x="250" y="30"/>
                <a:pt x="218" y="29"/>
              </a:cubicBezTo>
              <a:cubicBezTo>
                <a:pt x="204" y="26"/>
                <a:pt x="191" y="13"/>
                <a:pt x="176" y="9"/>
              </a:cubicBezTo>
              <a:cubicBezTo>
                <a:pt x="167" y="3"/>
                <a:pt x="166" y="5"/>
                <a:pt x="152" y="6"/>
              </a:cubicBezTo>
              <a:cubicBezTo>
                <a:pt x="146" y="15"/>
                <a:pt x="132" y="22"/>
                <a:pt x="122" y="25"/>
              </a:cubicBezTo>
              <a:cubicBezTo>
                <a:pt x="109" y="24"/>
                <a:pt x="99" y="22"/>
                <a:pt x="85" y="21"/>
              </a:cubicBezTo>
              <a:cubicBezTo>
                <a:pt x="80" y="18"/>
                <a:pt x="75" y="17"/>
                <a:pt x="69" y="16"/>
              </a:cubicBezTo>
              <a:cubicBezTo>
                <a:pt x="67" y="15"/>
                <a:pt x="63" y="14"/>
                <a:pt x="63" y="14"/>
              </a:cubicBezTo>
              <a:cubicBezTo>
                <a:pt x="60" y="11"/>
                <a:pt x="54" y="7"/>
                <a:pt x="54" y="7"/>
              </a:cubicBezTo>
              <a:cubicBezTo>
                <a:pt x="38" y="8"/>
                <a:pt x="26" y="16"/>
                <a:pt x="10" y="19"/>
              </a:cubicBezTo>
              <a:cubicBezTo>
                <a:pt x="7" y="21"/>
                <a:pt x="0" y="25"/>
                <a:pt x="0" y="25"/>
              </a:cubicBezTo>
              <a:close/>
            </a:path>
          </a:pathLst>
        </a:custGeom>
        <a:solidFill>
          <a:srgbClr val="00CCFF"/>
        </a:solidFill>
        <a:ln w="9525">
          <a:solidFill>
            <a:srgbClr val="000000"/>
          </a:solidFill>
          <a:round/>
          <a:headEnd/>
          <a:tailEnd/>
        </a:ln>
      </xdr:spPr>
    </xdr:sp>
    <xdr:clientData/>
  </xdr:twoCellAnchor>
  <xdr:twoCellAnchor>
    <xdr:from>
      <xdr:col>0</xdr:col>
      <xdr:colOff>276224</xdr:colOff>
      <xdr:row>54</xdr:row>
      <xdr:rowOff>123825</xdr:rowOff>
    </xdr:from>
    <xdr:to>
      <xdr:col>2</xdr:col>
      <xdr:colOff>142874</xdr:colOff>
      <xdr:row>57</xdr:row>
      <xdr:rowOff>38100</xdr:rowOff>
    </xdr:to>
    <xdr:sp macro="" textlink="">
      <xdr:nvSpPr>
        <xdr:cNvPr id="288" name="Oval 287"/>
        <xdr:cNvSpPr/>
      </xdr:nvSpPr>
      <xdr:spPr bwMode="auto">
        <a:xfrm>
          <a:off x="276224" y="12353925"/>
          <a:ext cx="428625" cy="485775"/>
        </a:xfrm>
        <a:prstGeom prst="ellipse">
          <a:avLst/>
        </a:prstGeom>
        <a:solidFill>
          <a:srgbClr val="00C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l-GR" sz="2800"/>
            <a:t>1</a:t>
          </a:r>
          <a:endParaRPr lang="en-GB" sz="2800"/>
        </a:p>
      </xdr:txBody>
    </xdr:sp>
    <xdr:clientData/>
  </xdr:twoCellAnchor>
  <xdr:twoCellAnchor>
    <xdr:from>
      <xdr:col>0</xdr:col>
      <xdr:colOff>0</xdr:colOff>
      <xdr:row>79</xdr:row>
      <xdr:rowOff>0</xdr:rowOff>
    </xdr:from>
    <xdr:to>
      <xdr:col>1</xdr:col>
      <xdr:colOff>133350</xdr:colOff>
      <xdr:row>80</xdr:row>
      <xdr:rowOff>238125</xdr:rowOff>
    </xdr:to>
    <xdr:sp macro="" textlink="">
      <xdr:nvSpPr>
        <xdr:cNvPr id="289" name="Oval 288"/>
        <xdr:cNvSpPr/>
      </xdr:nvSpPr>
      <xdr:spPr bwMode="auto">
        <a:xfrm>
          <a:off x="0" y="18573750"/>
          <a:ext cx="428625" cy="485775"/>
        </a:xfrm>
        <a:prstGeom prst="ellipse">
          <a:avLst/>
        </a:prstGeom>
        <a:solidFill>
          <a:srgbClr val="00C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l-GR" sz="2800"/>
            <a:t>2</a:t>
          </a:r>
          <a:endParaRPr lang="en-GB" sz="2800"/>
        </a:p>
      </xdr:txBody>
    </xdr:sp>
    <xdr:clientData/>
  </xdr:twoCellAnchor>
  <xdr:twoCellAnchor>
    <xdr:from>
      <xdr:col>2</xdr:col>
      <xdr:colOff>95250</xdr:colOff>
      <xdr:row>99</xdr:row>
      <xdr:rowOff>200025</xdr:rowOff>
    </xdr:from>
    <xdr:to>
      <xdr:col>2</xdr:col>
      <xdr:colOff>523875</xdr:colOff>
      <xdr:row>101</xdr:row>
      <xdr:rowOff>171450</xdr:rowOff>
    </xdr:to>
    <xdr:sp macro="" textlink="">
      <xdr:nvSpPr>
        <xdr:cNvPr id="290" name="Oval 1170"/>
        <xdr:cNvSpPr>
          <a:spLocks noChangeArrowheads="1"/>
        </xdr:cNvSpPr>
      </xdr:nvSpPr>
      <xdr:spPr bwMode="auto">
        <a:xfrm>
          <a:off x="657225" y="19764375"/>
          <a:ext cx="428625" cy="466725"/>
        </a:xfrm>
        <a:prstGeom prst="ellipse">
          <a:avLst/>
        </a:prstGeom>
        <a:solidFill>
          <a:srgbClr val="FFFF00"/>
        </a:solidFill>
        <a:ln w="9525">
          <a:solidFill>
            <a:srgbClr val="000000"/>
          </a:solidFill>
          <a:round/>
          <a:headEnd/>
          <a:tailEnd/>
        </a:ln>
      </xdr:spPr>
    </xdr:sp>
    <xdr:clientData/>
  </xdr:twoCellAnchor>
  <xdr:twoCellAnchor>
    <xdr:from>
      <xdr:col>2</xdr:col>
      <xdr:colOff>238125</xdr:colOff>
      <xdr:row>101</xdr:row>
      <xdr:rowOff>171450</xdr:rowOff>
    </xdr:from>
    <xdr:to>
      <xdr:col>2</xdr:col>
      <xdr:colOff>419100</xdr:colOff>
      <xdr:row>103</xdr:row>
      <xdr:rowOff>0</xdr:rowOff>
    </xdr:to>
    <xdr:sp macro="" textlink="">
      <xdr:nvSpPr>
        <xdr:cNvPr id="291" name="Text Box 1171"/>
        <xdr:cNvSpPr txBox="1">
          <a:spLocks noChangeArrowheads="1"/>
        </xdr:cNvSpPr>
      </xdr:nvSpPr>
      <xdr:spPr bwMode="auto">
        <a:xfrm>
          <a:off x="800100" y="20231100"/>
          <a:ext cx="180975" cy="152400"/>
        </a:xfrm>
        <a:prstGeom prst="rect">
          <a:avLst/>
        </a:prstGeom>
        <a:solidFill>
          <a:srgbClr val="FFFF00"/>
        </a:solidFill>
        <a:ln w="9525">
          <a:noFill/>
          <a:miter lim="800000"/>
          <a:headEnd/>
          <a:tailEnd/>
        </a:ln>
      </xdr:spPr>
    </xdr:sp>
    <xdr:clientData/>
  </xdr:twoCellAnchor>
  <xdr:twoCellAnchor>
    <xdr:from>
      <xdr:col>0</xdr:col>
      <xdr:colOff>371475</xdr:colOff>
      <xdr:row>101</xdr:row>
      <xdr:rowOff>142875</xdr:rowOff>
    </xdr:from>
    <xdr:to>
      <xdr:col>2</xdr:col>
      <xdr:colOff>276225</xdr:colOff>
      <xdr:row>103</xdr:row>
      <xdr:rowOff>47625</xdr:rowOff>
    </xdr:to>
    <xdr:sp macro="" textlink="">
      <xdr:nvSpPr>
        <xdr:cNvPr id="292" name="Freeform 1172"/>
        <xdr:cNvSpPr>
          <a:spLocks/>
        </xdr:cNvSpPr>
      </xdr:nvSpPr>
      <xdr:spPr bwMode="auto">
        <a:xfrm>
          <a:off x="295275" y="20202525"/>
          <a:ext cx="542925"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2</xdr:col>
      <xdr:colOff>409575</xdr:colOff>
      <xdr:row>101</xdr:row>
      <xdr:rowOff>161925</xdr:rowOff>
    </xdr:from>
    <xdr:to>
      <xdr:col>4</xdr:col>
      <xdr:colOff>19050</xdr:colOff>
      <xdr:row>103</xdr:row>
      <xdr:rowOff>9525</xdr:rowOff>
    </xdr:to>
    <xdr:sp macro="" textlink="">
      <xdr:nvSpPr>
        <xdr:cNvPr id="293" name="Freeform 1173"/>
        <xdr:cNvSpPr>
          <a:spLocks/>
        </xdr:cNvSpPr>
      </xdr:nvSpPr>
      <xdr:spPr bwMode="auto">
        <a:xfrm>
          <a:off x="971550" y="20221575"/>
          <a:ext cx="5238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0</xdr:col>
      <xdr:colOff>171450</xdr:colOff>
      <xdr:row>102</xdr:row>
      <xdr:rowOff>38100</xdr:rowOff>
    </xdr:from>
    <xdr:to>
      <xdr:col>2</xdr:col>
      <xdr:colOff>0</xdr:colOff>
      <xdr:row>106</xdr:row>
      <xdr:rowOff>76200</xdr:rowOff>
    </xdr:to>
    <xdr:sp macro="" textlink="">
      <xdr:nvSpPr>
        <xdr:cNvPr id="294" name="Freeform 1174"/>
        <xdr:cNvSpPr>
          <a:spLocks/>
        </xdr:cNvSpPr>
      </xdr:nvSpPr>
      <xdr:spPr bwMode="auto">
        <a:xfrm>
          <a:off x="171450" y="20345400"/>
          <a:ext cx="390525" cy="137160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1</xdr:col>
      <xdr:colOff>28575</xdr:colOff>
      <xdr:row>106</xdr:row>
      <xdr:rowOff>38100</xdr:rowOff>
    </xdr:from>
    <xdr:to>
      <xdr:col>1</xdr:col>
      <xdr:colOff>171450</xdr:colOff>
      <xdr:row>107</xdr:row>
      <xdr:rowOff>57150</xdr:rowOff>
    </xdr:to>
    <xdr:sp macro="" textlink="">
      <xdr:nvSpPr>
        <xdr:cNvPr id="295" name="Freeform 1175"/>
        <xdr:cNvSpPr>
          <a:spLocks/>
        </xdr:cNvSpPr>
      </xdr:nvSpPr>
      <xdr:spPr bwMode="auto">
        <a:xfrm>
          <a:off x="323850" y="21678900"/>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2</xdr:col>
      <xdr:colOff>609600</xdr:colOff>
      <xdr:row>102</xdr:row>
      <xdr:rowOff>66675</xdr:rowOff>
    </xdr:from>
    <xdr:to>
      <xdr:col>4</xdr:col>
      <xdr:colOff>95250</xdr:colOff>
      <xdr:row>106</xdr:row>
      <xdr:rowOff>28575</xdr:rowOff>
    </xdr:to>
    <xdr:sp macro="" textlink="">
      <xdr:nvSpPr>
        <xdr:cNvPr id="296" name="Freeform 1176"/>
        <xdr:cNvSpPr>
          <a:spLocks/>
        </xdr:cNvSpPr>
      </xdr:nvSpPr>
      <xdr:spPr bwMode="auto">
        <a:xfrm>
          <a:off x="1171575" y="20373975"/>
          <a:ext cx="400050" cy="129540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00FF00"/>
        </a:solidFill>
        <a:ln w="9525">
          <a:solidFill>
            <a:srgbClr val="000000"/>
          </a:solidFill>
          <a:round/>
          <a:headEnd/>
          <a:tailEnd/>
        </a:ln>
      </xdr:spPr>
    </xdr:sp>
    <xdr:clientData/>
  </xdr:twoCellAnchor>
  <xdr:twoCellAnchor>
    <xdr:from>
      <xdr:col>1</xdr:col>
      <xdr:colOff>200025</xdr:colOff>
      <xdr:row>99</xdr:row>
      <xdr:rowOff>95250</xdr:rowOff>
    </xdr:from>
    <xdr:to>
      <xdr:col>3</xdr:col>
      <xdr:colOff>9525</xdr:colOff>
      <xdr:row>101</xdr:row>
      <xdr:rowOff>209550</xdr:rowOff>
    </xdr:to>
    <xdr:sp macro="" textlink="">
      <xdr:nvSpPr>
        <xdr:cNvPr id="297" name="Freeform 1177"/>
        <xdr:cNvSpPr>
          <a:spLocks/>
        </xdr:cNvSpPr>
      </xdr:nvSpPr>
      <xdr:spPr bwMode="auto">
        <a:xfrm>
          <a:off x="495300" y="19659600"/>
          <a:ext cx="7239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2</xdr:col>
      <xdr:colOff>200025</xdr:colOff>
      <xdr:row>100</xdr:row>
      <xdr:rowOff>104775</xdr:rowOff>
    </xdr:from>
    <xdr:to>
      <xdr:col>2</xdr:col>
      <xdr:colOff>266700</xdr:colOff>
      <xdr:row>100</xdr:row>
      <xdr:rowOff>228600</xdr:rowOff>
    </xdr:to>
    <xdr:sp macro="" textlink="">
      <xdr:nvSpPr>
        <xdr:cNvPr id="298" name="Freeform 1178"/>
        <xdr:cNvSpPr>
          <a:spLocks/>
        </xdr:cNvSpPr>
      </xdr:nvSpPr>
      <xdr:spPr bwMode="auto">
        <a:xfrm>
          <a:off x="762000" y="199167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352425</xdr:colOff>
      <xdr:row>100</xdr:row>
      <xdr:rowOff>104775</xdr:rowOff>
    </xdr:from>
    <xdr:to>
      <xdr:col>2</xdr:col>
      <xdr:colOff>419100</xdr:colOff>
      <xdr:row>100</xdr:row>
      <xdr:rowOff>228600</xdr:rowOff>
    </xdr:to>
    <xdr:sp macro="" textlink="">
      <xdr:nvSpPr>
        <xdr:cNvPr id="299" name="Freeform 1179"/>
        <xdr:cNvSpPr>
          <a:spLocks/>
        </xdr:cNvSpPr>
      </xdr:nvSpPr>
      <xdr:spPr bwMode="auto">
        <a:xfrm>
          <a:off x="914400" y="199167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2</xdr:col>
      <xdr:colOff>171450</xdr:colOff>
      <xdr:row>100</xdr:row>
      <xdr:rowOff>76200</xdr:rowOff>
    </xdr:from>
    <xdr:to>
      <xdr:col>2</xdr:col>
      <xdr:colOff>266700</xdr:colOff>
      <xdr:row>100</xdr:row>
      <xdr:rowOff>114300</xdr:rowOff>
    </xdr:to>
    <xdr:sp macro="" textlink="">
      <xdr:nvSpPr>
        <xdr:cNvPr id="300" name="Freeform 1180"/>
        <xdr:cNvSpPr>
          <a:spLocks/>
        </xdr:cNvSpPr>
      </xdr:nvSpPr>
      <xdr:spPr bwMode="auto">
        <a:xfrm>
          <a:off x="733425" y="1988820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2</xdr:col>
      <xdr:colOff>352425</xdr:colOff>
      <xdr:row>100</xdr:row>
      <xdr:rowOff>76200</xdr:rowOff>
    </xdr:from>
    <xdr:to>
      <xdr:col>2</xdr:col>
      <xdr:colOff>438150</xdr:colOff>
      <xdr:row>100</xdr:row>
      <xdr:rowOff>85725</xdr:rowOff>
    </xdr:to>
    <xdr:sp macro="" textlink="">
      <xdr:nvSpPr>
        <xdr:cNvPr id="301" name="Freeform 1181"/>
        <xdr:cNvSpPr>
          <a:spLocks/>
        </xdr:cNvSpPr>
      </xdr:nvSpPr>
      <xdr:spPr bwMode="auto">
        <a:xfrm>
          <a:off x="914400" y="1988820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2</xdr:col>
      <xdr:colOff>247650</xdr:colOff>
      <xdr:row>101</xdr:row>
      <xdr:rowOff>66675</xdr:rowOff>
    </xdr:from>
    <xdr:to>
      <xdr:col>2</xdr:col>
      <xdr:colOff>409575</xdr:colOff>
      <xdr:row>101</xdr:row>
      <xdr:rowOff>114300</xdr:rowOff>
    </xdr:to>
    <xdr:sp macro="" textlink="">
      <xdr:nvSpPr>
        <xdr:cNvPr id="302" name="Freeform 1182"/>
        <xdr:cNvSpPr>
          <a:spLocks/>
        </xdr:cNvSpPr>
      </xdr:nvSpPr>
      <xdr:spPr bwMode="auto">
        <a:xfrm>
          <a:off x="809625" y="2012632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2</xdr:col>
      <xdr:colOff>295275</xdr:colOff>
      <xdr:row>100</xdr:row>
      <xdr:rowOff>200025</xdr:rowOff>
    </xdr:from>
    <xdr:to>
      <xdr:col>2</xdr:col>
      <xdr:colOff>323850</xdr:colOff>
      <xdr:row>101</xdr:row>
      <xdr:rowOff>104775</xdr:rowOff>
    </xdr:to>
    <xdr:sp macro="" textlink="">
      <xdr:nvSpPr>
        <xdr:cNvPr id="303" name="Freeform 1183"/>
        <xdr:cNvSpPr>
          <a:spLocks/>
        </xdr:cNvSpPr>
      </xdr:nvSpPr>
      <xdr:spPr bwMode="auto">
        <a:xfrm>
          <a:off x="857250" y="2001202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3</xdr:col>
      <xdr:colOff>95250</xdr:colOff>
      <xdr:row>105</xdr:row>
      <xdr:rowOff>352425</xdr:rowOff>
    </xdr:from>
    <xdr:to>
      <xdr:col>4</xdr:col>
      <xdr:colOff>114300</xdr:colOff>
      <xdr:row>107</xdr:row>
      <xdr:rowOff>19050</xdr:rowOff>
    </xdr:to>
    <xdr:sp macro="" textlink="">
      <xdr:nvSpPr>
        <xdr:cNvPr id="304" name="Freeform 1184"/>
        <xdr:cNvSpPr>
          <a:spLocks/>
        </xdr:cNvSpPr>
      </xdr:nvSpPr>
      <xdr:spPr bwMode="auto">
        <a:xfrm>
          <a:off x="1304925" y="21631275"/>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2</xdr:col>
      <xdr:colOff>209550</xdr:colOff>
      <xdr:row>100</xdr:row>
      <xdr:rowOff>123825</xdr:rowOff>
    </xdr:from>
    <xdr:to>
      <xdr:col>2</xdr:col>
      <xdr:colOff>304800</xdr:colOff>
      <xdr:row>100</xdr:row>
      <xdr:rowOff>200025</xdr:rowOff>
    </xdr:to>
    <xdr:sp macro="" textlink="">
      <xdr:nvSpPr>
        <xdr:cNvPr id="305" name="Freeform 1185"/>
        <xdr:cNvSpPr>
          <a:spLocks/>
        </xdr:cNvSpPr>
      </xdr:nvSpPr>
      <xdr:spPr bwMode="auto">
        <a:xfrm>
          <a:off x="771525" y="1993582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2</xdr:col>
      <xdr:colOff>361950</xdr:colOff>
      <xdr:row>100</xdr:row>
      <xdr:rowOff>133350</xdr:rowOff>
    </xdr:from>
    <xdr:to>
      <xdr:col>2</xdr:col>
      <xdr:colOff>457200</xdr:colOff>
      <xdr:row>100</xdr:row>
      <xdr:rowOff>209550</xdr:rowOff>
    </xdr:to>
    <xdr:sp macro="" textlink="">
      <xdr:nvSpPr>
        <xdr:cNvPr id="306" name="Freeform 1186"/>
        <xdr:cNvSpPr>
          <a:spLocks/>
        </xdr:cNvSpPr>
      </xdr:nvSpPr>
      <xdr:spPr bwMode="auto">
        <a:xfrm>
          <a:off x="923925" y="199453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xdr:col>
      <xdr:colOff>209550</xdr:colOff>
      <xdr:row>106</xdr:row>
      <xdr:rowOff>114300</xdr:rowOff>
    </xdr:from>
    <xdr:to>
      <xdr:col>4</xdr:col>
      <xdr:colOff>9525</xdr:colOff>
      <xdr:row>111</xdr:row>
      <xdr:rowOff>209550</xdr:rowOff>
    </xdr:to>
    <xdr:sp macro="" textlink="">
      <xdr:nvSpPr>
        <xdr:cNvPr id="307" name="Freeform 1187"/>
        <xdr:cNvSpPr>
          <a:spLocks/>
        </xdr:cNvSpPr>
      </xdr:nvSpPr>
      <xdr:spPr bwMode="auto">
        <a:xfrm>
          <a:off x="504825" y="21755100"/>
          <a:ext cx="9810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2</xdr:col>
      <xdr:colOff>47625</xdr:colOff>
      <xdr:row>107</xdr:row>
      <xdr:rowOff>28575</xdr:rowOff>
    </xdr:from>
    <xdr:to>
      <xdr:col>2</xdr:col>
      <xdr:colOff>238125</xdr:colOff>
      <xdr:row>108</xdr:row>
      <xdr:rowOff>0</xdr:rowOff>
    </xdr:to>
    <xdr:sp macro="" textlink="">
      <xdr:nvSpPr>
        <xdr:cNvPr id="308" name="Freeform 1188"/>
        <xdr:cNvSpPr>
          <a:spLocks/>
        </xdr:cNvSpPr>
      </xdr:nvSpPr>
      <xdr:spPr bwMode="auto">
        <a:xfrm>
          <a:off x="609600" y="218217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2</xdr:col>
      <xdr:colOff>419100</xdr:colOff>
      <xdr:row>107</xdr:row>
      <xdr:rowOff>19050</xdr:rowOff>
    </xdr:from>
    <xdr:to>
      <xdr:col>2</xdr:col>
      <xdr:colOff>609600</xdr:colOff>
      <xdr:row>107</xdr:row>
      <xdr:rowOff>238125</xdr:rowOff>
    </xdr:to>
    <xdr:sp macro="" textlink="">
      <xdr:nvSpPr>
        <xdr:cNvPr id="309" name="Freeform 1189"/>
        <xdr:cNvSpPr>
          <a:spLocks/>
        </xdr:cNvSpPr>
      </xdr:nvSpPr>
      <xdr:spPr bwMode="auto">
        <a:xfrm>
          <a:off x="981075" y="218122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0</xdr:col>
      <xdr:colOff>352425</xdr:colOff>
      <xdr:row>111</xdr:row>
      <xdr:rowOff>123825</xdr:rowOff>
    </xdr:from>
    <xdr:to>
      <xdr:col>2</xdr:col>
      <xdr:colOff>285750</xdr:colOff>
      <xdr:row>113</xdr:row>
      <xdr:rowOff>238125</xdr:rowOff>
    </xdr:to>
    <xdr:sp macro="" textlink="">
      <xdr:nvSpPr>
        <xdr:cNvPr id="310" name="Freeform 1190"/>
        <xdr:cNvSpPr>
          <a:spLocks/>
        </xdr:cNvSpPr>
      </xdr:nvSpPr>
      <xdr:spPr bwMode="auto">
        <a:xfrm>
          <a:off x="295275" y="22907625"/>
          <a:ext cx="552450"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FF0000"/>
        </a:solidFill>
        <a:ln w="9525">
          <a:solidFill>
            <a:srgbClr val="000000"/>
          </a:solidFill>
          <a:round/>
          <a:headEnd/>
          <a:tailEnd/>
        </a:ln>
      </xdr:spPr>
    </xdr:sp>
    <xdr:clientData/>
  </xdr:twoCellAnchor>
  <xdr:twoCellAnchor>
    <xdr:from>
      <xdr:col>2</xdr:col>
      <xdr:colOff>590550</xdr:colOff>
      <xdr:row>111</xdr:row>
      <xdr:rowOff>171450</xdr:rowOff>
    </xdr:from>
    <xdr:to>
      <xdr:col>4</xdr:col>
      <xdr:colOff>371475</xdr:colOff>
      <xdr:row>113</xdr:row>
      <xdr:rowOff>209550</xdr:rowOff>
    </xdr:to>
    <xdr:sp macro="" textlink="">
      <xdr:nvSpPr>
        <xdr:cNvPr id="311" name="Freeform 1191"/>
        <xdr:cNvSpPr>
          <a:spLocks/>
        </xdr:cNvSpPr>
      </xdr:nvSpPr>
      <xdr:spPr bwMode="auto">
        <a:xfrm>
          <a:off x="1152525" y="22955250"/>
          <a:ext cx="695325"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FF0000"/>
        </a:solidFill>
        <a:ln w="9525">
          <a:solidFill>
            <a:srgbClr val="000000"/>
          </a:solidFill>
          <a:round/>
          <a:headEnd/>
          <a:tailEnd/>
        </a:ln>
      </xdr:spPr>
    </xdr:sp>
    <xdr:clientData/>
  </xdr:twoCellAnchor>
  <xdr:twoCellAnchor>
    <xdr:from>
      <xdr:col>2</xdr:col>
      <xdr:colOff>114300</xdr:colOff>
      <xdr:row>109</xdr:row>
      <xdr:rowOff>95250</xdr:rowOff>
    </xdr:from>
    <xdr:to>
      <xdr:col>2</xdr:col>
      <xdr:colOff>266700</xdr:colOff>
      <xdr:row>110</xdr:row>
      <xdr:rowOff>104775</xdr:rowOff>
    </xdr:to>
    <xdr:sp macro="" textlink="">
      <xdr:nvSpPr>
        <xdr:cNvPr id="312" name="Oval 1192"/>
        <xdr:cNvSpPr>
          <a:spLocks noChangeArrowheads="1"/>
        </xdr:cNvSpPr>
      </xdr:nvSpPr>
      <xdr:spPr bwMode="auto">
        <a:xfrm>
          <a:off x="676275" y="22383750"/>
          <a:ext cx="152400" cy="257175"/>
        </a:xfrm>
        <a:prstGeom prst="ellipse">
          <a:avLst/>
        </a:prstGeom>
        <a:solidFill>
          <a:srgbClr val="FFCC00"/>
        </a:solidFill>
        <a:ln w="9525">
          <a:solidFill>
            <a:srgbClr val="000000"/>
          </a:solidFill>
          <a:round/>
          <a:headEnd/>
          <a:tailEnd/>
        </a:ln>
      </xdr:spPr>
    </xdr:sp>
    <xdr:clientData/>
  </xdr:twoCellAnchor>
  <xdr:twoCellAnchor>
    <xdr:from>
      <xdr:col>2</xdr:col>
      <xdr:colOff>561975</xdr:colOff>
      <xdr:row>109</xdr:row>
      <xdr:rowOff>85725</xdr:rowOff>
    </xdr:from>
    <xdr:to>
      <xdr:col>3</xdr:col>
      <xdr:colOff>66675</xdr:colOff>
      <xdr:row>110</xdr:row>
      <xdr:rowOff>95250</xdr:rowOff>
    </xdr:to>
    <xdr:sp macro="" textlink="">
      <xdr:nvSpPr>
        <xdr:cNvPr id="313" name="Oval 1193"/>
        <xdr:cNvSpPr>
          <a:spLocks noChangeArrowheads="1"/>
        </xdr:cNvSpPr>
      </xdr:nvSpPr>
      <xdr:spPr bwMode="auto">
        <a:xfrm>
          <a:off x="1123950" y="22374225"/>
          <a:ext cx="152400" cy="257175"/>
        </a:xfrm>
        <a:prstGeom prst="ellipse">
          <a:avLst/>
        </a:prstGeom>
        <a:solidFill>
          <a:srgbClr val="FFCC00"/>
        </a:solidFill>
        <a:ln w="9525">
          <a:solidFill>
            <a:srgbClr val="000000"/>
          </a:solidFill>
          <a:round/>
          <a:headEnd/>
          <a:tailEnd/>
        </a:ln>
      </xdr:spPr>
    </xdr:sp>
    <xdr:clientData/>
  </xdr:twoCellAnchor>
  <xdr:twoCellAnchor>
    <xdr:from>
      <xdr:col>4</xdr:col>
      <xdr:colOff>200025</xdr:colOff>
      <xdr:row>99</xdr:row>
      <xdr:rowOff>114300</xdr:rowOff>
    </xdr:from>
    <xdr:to>
      <xdr:col>5</xdr:col>
      <xdr:colOff>304800</xdr:colOff>
      <xdr:row>106</xdr:row>
      <xdr:rowOff>142875</xdr:rowOff>
    </xdr:to>
    <xdr:sp macro="" textlink="">
      <xdr:nvSpPr>
        <xdr:cNvPr id="314" name="Freeform 1194"/>
        <xdr:cNvSpPr>
          <a:spLocks/>
        </xdr:cNvSpPr>
      </xdr:nvSpPr>
      <xdr:spPr bwMode="auto">
        <a:xfrm>
          <a:off x="1676400" y="19678650"/>
          <a:ext cx="79057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4</xdr:col>
      <xdr:colOff>352425</xdr:colOff>
      <xdr:row>100</xdr:row>
      <xdr:rowOff>19050</xdr:rowOff>
    </xdr:from>
    <xdr:to>
      <xdr:col>5</xdr:col>
      <xdr:colOff>457200</xdr:colOff>
      <xdr:row>107</xdr:row>
      <xdr:rowOff>142875</xdr:rowOff>
    </xdr:to>
    <xdr:sp macro="" textlink="">
      <xdr:nvSpPr>
        <xdr:cNvPr id="315" name="Freeform 1195"/>
        <xdr:cNvSpPr>
          <a:spLocks/>
        </xdr:cNvSpPr>
      </xdr:nvSpPr>
      <xdr:spPr bwMode="auto">
        <a:xfrm>
          <a:off x="1828800" y="19831050"/>
          <a:ext cx="71437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7</xdr:col>
      <xdr:colOff>95250</xdr:colOff>
      <xdr:row>99</xdr:row>
      <xdr:rowOff>200025</xdr:rowOff>
    </xdr:from>
    <xdr:to>
      <xdr:col>7</xdr:col>
      <xdr:colOff>523875</xdr:colOff>
      <xdr:row>101</xdr:row>
      <xdr:rowOff>171450</xdr:rowOff>
    </xdr:to>
    <xdr:sp macro="" textlink="">
      <xdr:nvSpPr>
        <xdr:cNvPr id="316" name="Oval 1196"/>
        <xdr:cNvSpPr>
          <a:spLocks noChangeArrowheads="1"/>
        </xdr:cNvSpPr>
      </xdr:nvSpPr>
      <xdr:spPr bwMode="auto">
        <a:xfrm>
          <a:off x="2905125" y="19764375"/>
          <a:ext cx="428625" cy="466725"/>
        </a:xfrm>
        <a:prstGeom prst="ellipse">
          <a:avLst/>
        </a:prstGeom>
        <a:solidFill>
          <a:srgbClr val="FFFF00"/>
        </a:solidFill>
        <a:ln w="9525">
          <a:solidFill>
            <a:srgbClr val="000000"/>
          </a:solidFill>
          <a:round/>
          <a:headEnd/>
          <a:tailEnd/>
        </a:ln>
      </xdr:spPr>
    </xdr:sp>
    <xdr:clientData/>
  </xdr:twoCellAnchor>
  <xdr:twoCellAnchor>
    <xdr:from>
      <xdr:col>7</xdr:col>
      <xdr:colOff>238125</xdr:colOff>
      <xdr:row>101</xdr:row>
      <xdr:rowOff>171450</xdr:rowOff>
    </xdr:from>
    <xdr:to>
      <xdr:col>7</xdr:col>
      <xdr:colOff>419100</xdr:colOff>
      <xdr:row>103</xdr:row>
      <xdr:rowOff>0</xdr:rowOff>
    </xdr:to>
    <xdr:sp macro="" textlink="">
      <xdr:nvSpPr>
        <xdr:cNvPr id="317" name="Text Box 1197"/>
        <xdr:cNvSpPr txBox="1">
          <a:spLocks noChangeArrowheads="1"/>
        </xdr:cNvSpPr>
      </xdr:nvSpPr>
      <xdr:spPr bwMode="auto">
        <a:xfrm>
          <a:off x="3048000" y="20231100"/>
          <a:ext cx="180975" cy="152400"/>
        </a:xfrm>
        <a:prstGeom prst="rect">
          <a:avLst/>
        </a:prstGeom>
        <a:solidFill>
          <a:srgbClr val="FFFF00"/>
        </a:solidFill>
        <a:ln w="9525">
          <a:noFill/>
          <a:miter lim="800000"/>
          <a:headEnd/>
          <a:tailEnd/>
        </a:ln>
      </xdr:spPr>
    </xdr:sp>
    <xdr:clientData/>
  </xdr:twoCellAnchor>
  <xdr:twoCellAnchor>
    <xdr:from>
      <xdr:col>5</xdr:col>
      <xdr:colOff>371475</xdr:colOff>
      <xdr:row>101</xdr:row>
      <xdr:rowOff>142875</xdr:rowOff>
    </xdr:from>
    <xdr:to>
      <xdr:col>7</xdr:col>
      <xdr:colOff>276225</xdr:colOff>
      <xdr:row>103</xdr:row>
      <xdr:rowOff>47625</xdr:rowOff>
    </xdr:to>
    <xdr:sp macro="" textlink="">
      <xdr:nvSpPr>
        <xdr:cNvPr id="318" name="Freeform 1198"/>
        <xdr:cNvSpPr>
          <a:spLocks/>
        </xdr:cNvSpPr>
      </xdr:nvSpPr>
      <xdr:spPr bwMode="auto">
        <a:xfrm>
          <a:off x="2533650" y="20202525"/>
          <a:ext cx="552450" cy="22860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7</xdr:col>
      <xdr:colOff>409575</xdr:colOff>
      <xdr:row>101</xdr:row>
      <xdr:rowOff>161925</xdr:rowOff>
    </xdr:from>
    <xdr:to>
      <xdr:col>9</xdr:col>
      <xdr:colOff>19050</xdr:colOff>
      <xdr:row>103</xdr:row>
      <xdr:rowOff>9525</xdr:rowOff>
    </xdr:to>
    <xdr:sp macro="" textlink="">
      <xdr:nvSpPr>
        <xdr:cNvPr id="319" name="Freeform 1199"/>
        <xdr:cNvSpPr>
          <a:spLocks/>
        </xdr:cNvSpPr>
      </xdr:nvSpPr>
      <xdr:spPr bwMode="auto">
        <a:xfrm>
          <a:off x="3219450" y="20221575"/>
          <a:ext cx="600075"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5</xdr:col>
      <xdr:colOff>171450</xdr:colOff>
      <xdr:row>102</xdr:row>
      <xdr:rowOff>38100</xdr:rowOff>
    </xdr:from>
    <xdr:to>
      <xdr:col>7</xdr:col>
      <xdr:colOff>0</xdr:colOff>
      <xdr:row>106</xdr:row>
      <xdr:rowOff>76200</xdr:rowOff>
    </xdr:to>
    <xdr:sp macro="" textlink="">
      <xdr:nvSpPr>
        <xdr:cNvPr id="320" name="Freeform 1200"/>
        <xdr:cNvSpPr>
          <a:spLocks/>
        </xdr:cNvSpPr>
      </xdr:nvSpPr>
      <xdr:spPr bwMode="auto">
        <a:xfrm>
          <a:off x="2333625" y="20345400"/>
          <a:ext cx="476250" cy="137160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a:solidFill>
            <a:srgbClr val="000000"/>
          </a:solidFill>
          <a:round/>
          <a:headEnd/>
          <a:tailEnd/>
        </a:ln>
      </xdr:spPr>
    </xdr:sp>
    <xdr:clientData/>
  </xdr:twoCellAnchor>
  <xdr:twoCellAnchor>
    <xdr:from>
      <xdr:col>6</xdr:col>
      <xdr:colOff>28575</xdr:colOff>
      <xdr:row>106</xdr:row>
      <xdr:rowOff>38100</xdr:rowOff>
    </xdr:from>
    <xdr:to>
      <xdr:col>6</xdr:col>
      <xdr:colOff>171450</xdr:colOff>
      <xdr:row>107</xdr:row>
      <xdr:rowOff>57150</xdr:rowOff>
    </xdr:to>
    <xdr:sp macro="" textlink="">
      <xdr:nvSpPr>
        <xdr:cNvPr id="321" name="Freeform 1201"/>
        <xdr:cNvSpPr>
          <a:spLocks/>
        </xdr:cNvSpPr>
      </xdr:nvSpPr>
      <xdr:spPr bwMode="auto">
        <a:xfrm>
          <a:off x="2571750" y="21678900"/>
          <a:ext cx="142875" cy="17145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6</xdr:col>
      <xdr:colOff>200025</xdr:colOff>
      <xdr:row>99</xdr:row>
      <xdr:rowOff>95250</xdr:rowOff>
    </xdr:from>
    <xdr:to>
      <xdr:col>8</xdr:col>
      <xdr:colOff>9525</xdr:colOff>
      <xdr:row>101</xdr:row>
      <xdr:rowOff>209550</xdr:rowOff>
    </xdr:to>
    <xdr:sp macro="" textlink="">
      <xdr:nvSpPr>
        <xdr:cNvPr id="322" name="Freeform 1202"/>
        <xdr:cNvSpPr>
          <a:spLocks/>
        </xdr:cNvSpPr>
      </xdr:nvSpPr>
      <xdr:spPr bwMode="auto">
        <a:xfrm>
          <a:off x="2743200" y="19659600"/>
          <a:ext cx="8001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7</xdr:col>
      <xdr:colOff>200025</xdr:colOff>
      <xdr:row>100</xdr:row>
      <xdr:rowOff>104775</xdr:rowOff>
    </xdr:from>
    <xdr:to>
      <xdr:col>7</xdr:col>
      <xdr:colOff>266700</xdr:colOff>
      <xdr:row>100</xdr:row>
      <xdr:rowOff>228600</xdr:rowOff>
    </xdr:to>
    <xdr:sp macro="" textlink="">
      <xdr:nvSpPr>
        <xdr:cNvPr id="323" name="Freeform 1203"/>
        <xdr:cNvSpPr>
          <a:spLocks/>
        </xdr:cNvSpPr>
      </xdr:nvSpPr>
      <xdr:spPr bwMode="auto">
        <a:xfrm>
          <a:off x="3009900" y="199167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352425</xdr:colOff>
      <xdr:row>100</xdr:row>
      <xdr:rowOff>104775</xdr:rowOff>
    </xdr:from>
    <xdr:to>
      <xdr:col>7</xdr:col>
      <xdr:colOff>419100</xdr:colOff>
      <xdr:row>100</xdr:row>
      <xdr:rowOff>228600</xdr:rowOff>
    </xdr:to>
    <xdr:sp macro="" textlink="">
      <xdr:nvSpPr>
        <xdr:cNvPr id="324" name="Freeform 1204"/>
        <xdr:cNvSpPr>
          <a:spLocks/>
        </xdr:cNvSpPr>
      </xdr:nvSpPr>
      <xdr:spPr bwMode="auto">
        <a:xfrm>
          <a:off x="3162300" y="199167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7</xdr:col>
      <xdr:colOff>171450</xdr:colOff>
      <xdr:row>100</xdr:row>
      <xdr:rowOff>76200</xdr:rowOff>
    </xdr:from>
    <xdr:to>
      <xdr:col>7</xdr:col>
      <xdr:colOff>266700</xdr:colOff>
      <xdr:row>100</xdr:row>
      <xdr:rowOff>114300</xdr:rowOff>
    </xdr:to>
    <xdr:sp macro="" textlink="">
      <xdr:nvSpPr>
        <xdr:cNvPr id="325" name="Freeform 1205"/>
        <xdr:cNvSpPr>
          <a:spLocks/>
        </xdr:cNvSpPr>
      </xdr:nvSpPr>
      <xdr:spPr bwMode="auto">
        <a:xfrm>
          <a:off x="2981325" y="1988820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7</xdr:col>
      <xdr:colOff>352425</xdr:colOff>
      <xdr:row>100</xdr:row>
      <xdr:rowOff>76200</xdr:rowOff>
    </xdr:from>
    <xdr:to>
      <xdr:col>7</xdr:col>
      <xdr:colOff>438150</xdr:colOff>
      <xdr:row>100</xdr:row>
      <xdr:rowOff>85725</xdr:rowOff>
    </xdr:to>
    <xdr:sp macro="" textlink="">
      <xdr:nvSpPr>
        <xdr:cNvPr id="326" name="Freeform 1206"/>
        <xdr:cNvSpPr>
          <a:spLocks/>
        </xdr:cNvSpPr>
      </xdr:nvSpPr>
      <xdr:spPr bwMode="auto">
        <a:xfrm>
          <a:off x="3162300" y="1988820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7</xdr:col>
      <xdr:colOff>247650</xdr:colOff>
      <xdr:row>101</xdr:row>
      <xdr:rowOff>66675</xdr:rowOff>
    </xdr:from>
    <xdr:to>
      <xdr:col>7</xdr:col>
      <xdr:colOff>409575</xdr:colOff>
      <xdr:row>101</xdr:row>
      <xdr:rowOff>114300</xdr:rowOff>
    </xdr:to>
    <xdr:sp macro="" textlink="">
      <xdr:nvSpPr>
        <xdr:cNvPr id="327" name="Freeform 1207"/>
        <xdr:cNvSpPr>
          <a:spLocks/>
        </xdr:cNvSpPr>
      </xdr:nvSpPr>
      <xdr:spPr bwMode="auto">
        <a:xfrm>
          <a:off x="3057525" y="2012632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7</xdr:col>
      <xdr:colOff>295275</xdr:colOff>
      <xdr:row>100</xdr:row>
      <xdr:rowOff>200025</xdr:rowOff>
    </xdr:from>
    <xdr:to>
      <xdr:col>7</xdr:col>
      <xdr:colOff>323850</xdr:colOff>
      <xdr:row>101</xdr:row>
      <xdr:rowOff>104775</xdr:rowOff>
    </xdr:to>
    <xdr:sp macro="" textlink="">
      <xdr:nvSpPr>
        <xdr:cNvPr id="328" name="Freeform 1208"/>
        <xdr:cNvSpPr>
          <a:spLocks/>
        </xdr:cNvSpPr>
      </xdr:nvSpPr>
      <xdr:spPr bwMode="auto">
        <a:xfrm>
          <a:off x="3105150" y="2001202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8</xdr:col>
      <xdr:colOff>95250</xdr:colOff>
      <xdr:row>105</xdr:row>
      <xdr:rowOff>352425</xdr:rowOff>
    </xdr:from>
    <xdr:to>
      <xdr:col>9</xdr:col>
      <xdr:colOff>114300</xdr:colOff>
      <xdr:row>107</xdr:row>
      <xdr:rowOff>19050</xdr:rowOff>
    </xdr:to>
    <xdr:sp macro="" textlink="">
      <xdr:nvSpPr>
        <xdr:cNvPr id="329" name="Freeform 1209"/>
        <xdr:cNvSpPr>
          <a:spLocks/>
        </xdr:cNvSpPr>
      </xdr:nvSpPr>
      <xdr:spPr bwMode="auto">
        <a:xfrm>
          <a:off x="3629025" y="21631275"/>
          <a:ext cx="285750" cy="18097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7</xdr:col>
      <xdr:colOff>209550</xdr:colOff>
      <xdr:row>100</xdr:row>
      <xdr:rowOff>123825</xdr:rowOff>
    </xdr:from>
    <xdr:to>
      <xdr:col>7</xdr:col>
      <xdr:colOff>304800</xdr:colOff>
      <xdr:row>100</xdr:row>
      <xdr:rowOff>200025</xdr:rowOff>
    </xdr:to>
    <xdr:sp macro="" textlink="">
      <xdr:nvSpPr>
        <xdr:cNvPr id="330" name="Freeform 1210"/>
        <xdr:cNvSpPr>
          <a:spLocks/>
        </xdr:cNvSpPr>
      </xdr:nvSpPr>
      <xdr:spPr bwMode="auto">
        <a:xfrm>
          <a:off x="3019425" y="1993582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7</xdr:col>
      <xdr:colOff>361950</xdr:colOff>
      <xdr:row>100</xdr:row>
      <xdr:rowOff>133350</xdr:rowOff>
    </xdr:from>
    <xdr:to>
      <xdr:col>7</xdr:col>
      <xdr:colOff>457200</xdr:colOff>
      <xdr:row>100</xdr:row>
      <xdr:rowOff>209550</xdr:rowOff>
    </xdr:to>
    <xdr:sp macro="" textlink="">
      <xdr:nvSpPr>
        <xdr:cNvPr id="331" name="Freeform 1211"/>
        <xdr:cNvSpPr>
          <a:spLocks/>
        </xdr:cNvSpPr>
      </xdr:nvSpPr>
      <xdr:spPr bwMode="auto">
        <a:xfrm>
          <a:off x="3171825" y="199453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6</xdr:col>
      <xdr:colOff>209550</xdr:colOff>
      <xdr:row>106</xdr:row>
      <xdr:rowOff>114300</xdr:rowOff>
    </xdr:from>
    <xdr:to>
      <xdr:col>9</xdr:col>
      <xdr:colOff>9525</xdr:colOff>
      <xdr:row>111</xdr:row>
      <xdr:rowOff>209550</xdr:rowOff>
    </xdr:to>
    <xdr:sp macro="" textlink="">
      <xdr:nvSpPr>
        <xdr:cNvPr id="332" name="Freeform 1212"/>
        <xdr:cNvSpPr>
          <a:spLocks/>
        </xdr:cNvSpPr>
      </xdr:nvSpPr>
      <xdr:spPr bwMode="auto">
        <a:xfrm>
          <a:off x="2752725" y="21755100"/>
          <a:ext cx="105727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a:solidFill>
            <a:srgbClr val="000000"/>
          </a:solidFill>
          <a:round/>
          <a:headEnd/>
          <a:tailEnd/>
        </a:ln>
      </xdr:spPr>
    </xdr:sp>
    <xdr:clientData/>
  </xdr:twoCellAnchor>
  <xdr:twoCellAnchor>
    <xdr:from>
      <xdr:col>7</xdr:col>
      <xdr:colOff>47625</xdr:colOff>
      <xdr:row>107</xdr:row>
      <xdr:rowOff>28575</xdr:rowOff>
    </xdr:from>
    <xdr:to>
      <xdr:col>7</xdr:col>
      <xdr:colOff>238125</xdr:colOff>
      <xdr:row>108</xdr:row>
      <xdr:rowOff>0</xdr:rowOff>
    </xdr:to>
    <xdr:sp macro="" textlink="">
      <xdr:nvSpPr>
        <xdr:cNvPr id="333" name="Freeform 1213"/>
        <xdr:cNvSpPr>
          <a:spLocks/>
        </xdr:cNvSpPr>
      </xdr:nvSpPr>
      <xdr:spPr bwMode="auto">
        <a:xfrm>
          <a:off x="2857500" y="218217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7</xdr:col>
      <xdr:colOff>419100</xdr:colOff>
      <xdr:row>107</xdr:row>
      <xdr:rowOff>19050</xdr:rowOff>
    </xdr:from>
    <xdr:to>
      <xdr:col>7</xdr:col>
      <xdr:colOff>609600</xdr:colOff>
      <xdr:row>107</xdr:row>
      <xdr:rowOff>238125</xdr:rowOff>
    </xdr:to>
    <xdr:sp macro="" textlink="">
      <xdr:nvSpPr>
        <xdr:cNvPr id="334" name="Freeform 1214"/>
        <xdr:cNvSpPr>
          <a:spLocks/>
        </xdr:cNvSpPr>
      </xdr:nvSpPr>
      <xdr:spPr bwMode="auto">
        <a:xfrm>
          <a:off x="3228975" y="218122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5</xdr:col>
      <xdr:colOff>352425</xdr:colOff>
      <xdr:row>111</xdr:row>
      <xdr:rowOff>123825</xdr:rowOff>
    </xdr:from>
    <xdr:to>
      <xdr:col>7</xdr:col>
      <xdr:colOff>285750</xdr:colOff>
      <xdr:row>113</xdr:row>
      <xdr:rowOff>238125</xdr:rowOff>
    </xdr:to>
    <xdr:sp macro="" textlink="">
      <xdr:nvSpPr>
        <xdr:cNvPr id="335" name="Freeform 1215"/>
        <xdr:cNvSpPr>
          <a:spLocks/>
        </xdr:cNvSpPr>
      </xdr:nvSpPr>
      <xdr:spPr bwMode="auto">
        <a:xfrm>
          <a:off x="2514600" y="22907625"/>
          <a:ext cx="58102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800000"/>
        </a:solidFill>
        <a:ln w="9525">
          <a:solidFill>
            <a:srgbClr val="000000"/>
          </a:solidFill>
          <a:round/>
          <a:headEnd/>
          <a:tailEnd/>
        </a:ln>
      </xdr:spPr>
    </xdr:sp>
    <xdr:clientData/>
  </xdr:twoCellAnchor>
  <xdr:twoCellAnchor>
    <xdr:from>
      <xdr:col>7</xdr:col>
      <xdr:colOff>590550</xdr:colOff>
      <xdr:row>111</xdr:row>
      <xdr:rowOff>142875</xdr:rowOff>
    </xdr:from>
    <xdr:to>
      <xdr:col>9</xdr:col>
      <xdr:colOff>371475</xdr:colOff>
      <xdr:row>113</xdr:row>
      <xdr:rowOff>209550</xdr:rowOff>
    </xdr:to>
    <xdr:sp macro="" textlink="">
      <xdr:nvSpPr>
        <xdr:cNvPr id="336" name="Freeform 1216"/>
        <xdr:cNvSpPr>
          <a:spLocks/>
        </xdr:cNvSpPr>
      </xdr:nvSpPr>
      <xdr:spPr bwMode="auto">
        <a:xfrm>
          <a:off x="3400425" y="22926675"/>
          <a:ext cx="771525" cy="561975"/>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800000"/>
        </a:solidFill>
        <a:ln w="9525">
          <a:solidFill>
            <a:srgbClr val="000000"/>
          </a:solidFill>
          <a:round/>
          <a:headEnd/>
          <a:tailEnd/>
        </a:ln>
      </xdr:spPr>
    </xdr:sp>
    <xdr:clientData/>
  </xdr:twoCellAnchor>
  <xdr:twoCellAnchor>
    <xdr:from>
      <xdr:col>7</xdr:col>
      <xdr:colOff>114300</xdr:colOff>
      <xdr:row>109</xdr:row>
      <xdr:rowOff>95250</xdr:rowOff>
    </xdr:from>
    <xdr:to>
      <xdr:col>7</xdr:col>
      <xdr:colOff>266700</xdr:colOff>
      <xdr:row>110</xdr:row>
      <xdr:rowOff>104775</xdr:rowOff>
    </xdr:to>
    <xdr:sp macro="" textlink="">
      <xdr:nvSpPr>
        <xdr:cNvPr id="337" name="Oval 1217"/>
        <xdr:cNvSpPr>
          <a:spLocks noChangeArrowheads="1"/>
        </xdr:cNvSpPr>
      </xdr:nvSpPr>
      <xdr:spPr bwMode="auto">
        <a:xfrm>
          <a:off x="2924175" y="22383750"/>
          <a:ext cx="152400" cy="257175"/>
        </a:xfrm>
        <a:prstGeom prst="ellipse">
          <a:avLst/>
        </a:prstGeom>
        <a:solidFill>
          <a:srgbClr val="FFCC00"/>
        </a:solidFill>
        <a:ln w="9525">
          <a:solidFill>
            <a:srgbClr val="000000"/>
          </a:solidFill>
          <a:round/>
          <a:headEnd/>
          <a:tailEnd/>
        </a:ln>
      </xdr:spPr>
    </xdr:sp>
    <xdr:clientData/>
  </xdr:twoCellAnchor>
  <xdr:twoCellAnchor>
    <xdr:from>
      <xdr:col>7</xdr:col>
      <xdr:colOff>561975</xdr:colOff>
      <xdr:row>109</xdr:row>
      <xdr:rowOff>85725</xdr:rowOff>
    </xdr:from>
    <xdr:to>
      <xdr:col>8</xdr:col>
      <xdr:colOff>66675</xdr:colOff>
      <xdr:row>110</xdr:row>
      <xdr:rowOff>95250</xdr:rowOff>
    </xdr:to>
    <xdr:sp macro="" textlink="">
      <xdr:nvSpPr>
        <xdr:cNvPr id="338" name="Oval 1218"/>
        <xdr:cNvSpPr>
          <a:spLocks noChangeArrowheads="1"/>
        </xdr:cNvSpPr>
      </xdr:nvSpPr>
      <xdr:spPr bwMode="auto">
        <a:xfrm>
          <a:off x="3371850" y="22374225"/>
          <a:ext cx="228600" cy="257175"/>
        </a:xfrm>
        <a:prstGeom prst="ellipse">
          <a:avLst/>
        </a:prstGeom>
        <a:solidFill>
          <a:srgbClr val="FFCC00"/>
        </a:solidFill>
        <a:ln w="9525">
          <a:solidFill>
            <a:srgbClr val="000000"/>
          </a:solidFill>
          <a:round/>
          <a:headEnd/>
          <a:tailEnd/>
        </a:ln>
      </xdr:spPr>
    </xdr:sp>
    <xdr:clientData/>
  </xdr:twoCellAnchor>
  <xdr:twoCellAnchor>
    <xdr:from>
      <xdr:col>8</xdr:col>
      <xdr:colOff>228600</xdr:colOff>
      <xdr:row>99</xdr:row>
      <xdr:rowOff>114300</xdr:rowOff>
    </xdr:from>
    <xdr:to>
      <xdr:col>10</xdr:col>
      <xdr:colOff>28575</xdr:colOff>
      <xdr:row>106</xdr:row>
      <xdr:rowOff>142875</xdr:rowOff>
    </xdr:to>
    <xdr:sp macro="" textlink="">
      <xdr:nvSpPr>
        <xdr:cNvPr id="339" name="Freeform 1219"/>
        <xdr:cNvSpPr>
          <a:spLocks/>
        </xdr:cNvSpPr>
      </xdr:nvSpPr>
      <xdr:spPr bwMode="auto">
        <a:xfrm>
          <a:off x="3762375" y="19678650"/>
          <a:ext cx="46672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9</xdr:col>
      <xdr:colOff>28575</xdr:colOff>
      <xdr:row>105</xdr:row>
      <xdr:rowOff>180975</xdr:rowOff>
    </xdr:from>
    <xdr:to>
      <xdr:col>9</xdr:col>
      <xdr:colOff>342900</xdr:colOff>
      <xdr:row>113</xdr:row>
      <xdr:rowOff>0</xdr:rowOff>
    </xdr:to>
    <xdr:sp macro="" textlink="">
      <xdr:nvSpPr>
        <xdr:cNvPr id="340" name="Freeform 1220"/>
        <xdr:cNvSpPr>
          <a:spLocks/>
        </xdr:cNvSpPr>
      </xdr:nvSpPr>
      <xdr:spPr bwMode="auto">
        <a:xfrm>
          <a:off x="3829050" y="21459825"/>
          <a:ext cx="314325" cy="181927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3</xdr:col>
      <xdr:colOff>85725</xdr:colOff>
      <xdr:row>99</xdr:row>
      <xdr:rowOff>0</xdr:rowOff>
    </xdr:from>
    <xdr:to>
      <xdr:col>7</xdr:col>
      <xdr:colOff>19050</xdr:colOff>
      <xdr:row>105</xdr:row>
      <xdr:rowOff>142875</xdr:rowOff>
    </xdr:to>
    <xdr:sp macro="" textlink="">
      <xdr:nvSpPr>
        <xdr:cNvPr id="341" name="Freeform 1221"/>
        <xdr:cNvSpPr>
          <a:spLocks/>
        </xdr:cNvSpPr>
      </xdr:nvSpPr>
      <xdr:spPr bwMode="auto">
        <a:xfrm>
          <a:off x="1295400" y="19564350"/>
          <a:ext cx="1533525" cy="185737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CC00"/>
        </a:solidFill>
        <a:ln w="9525">
          <a:solidFill>
            <a:srgbClr val="000000"/>
          </a:solidFill>
          <a:round/>
          <a:headEnd/>
          <a:tailEnd/>
        </a:ln>
      </xdr:spPr>
    </xdr:sp>
    <xdr:clientData/>
  </xdr:twoCellAnchor>
  <xdr:twoCellAnchor>
    <xdr:from>
      <xdr:col>2</xdr:col>
      <xdr:colOff>142875</xdr:colOff>
      <xdr:row>105</xdr:row>
      <xdr:rowOff>171450</xdr:rowOff>
    </xdr:from>
    <xdr:to>
      <xdr:col>5</xdr:col>
      <xdr:colOff>76200</xdr:colOff>
      <xdr:row>111</xdr:row>
      <xdr:rowOff>238125</xdr:rowOff>
    </xdr:to>
    <xdr:sp macro="" textlink="">
      <xdr:nvSpPr>
        <xdr:cNvPr id="342" name="Freeform 1222"/>
        <xdr:cNvSpPr>
          <a:spLocks/>
        </xdr:cNvSpPr>
      </xdr:nvSpPr>
      <xdr:spPr bwMode="auto">
        <a:xfrm>
          <a:off x="704850" y="21450300"/>
          <a:ext cx="153352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7</xdr:col>
      <xdr:colOff>38100</xdr:colOff>
      <xdr:row>97</xdr:row>
      <xdr:rowOff>219075</xdr:rowOff>
    </xdr:from>
    <xdr:to>
      <xdr:col>8</xdr:col>
      <xdr:colOff>28575</xdr:colOff>
      <xdr:row>100</xdr:row>
      <xdr:rowOff>9525</xdr:rowOff>
    </xdr:to>
    <xdr:sp macro="" textlink="">
      <xdr:nvSpPr>
        <xdr:cNvPr id="343" name="Freeform 1223"/>
        <xdr:cNvSpPr>
          <a:spLocks/>
        </xdr:cNvSpPr>
      </xdr:nvSpPr>
      <xdr:spPr bwMode="auto">
        <a:xfrm>
          <a:off x="2847975" y="19288125"/>
          <a:ext cx="714375" cy="533400"/>
        </a:xfrm>
        <a:custGeom>
          <a:avLst/>
          <a:gdLst>
            <a:gd name="T0" fmla="*/ 0 w 67"/>
            <a:gd name="T1" fmla="*/ 2147483647 h 56"/>
            <a:gd name="T2" fmla="*/ 2147483647 w 67"/>
            <a:gd name="T3" fmla="*/ 2147483647 h 56"/>
            <a:gd name="T4" fmla="*/ 2147483647 w 67"/>
            <a:gd name="T5" fmla="*/ 2147483647 h 56"/>
            <a:gd name="T6" fmla="*/ 2147483647 w 67"/>
            <a:gd name="T7" fmla="*/ 2147483647 h 56"/>
            <a:gd name="T8" fmla="*/ 2147483647 w 67"/>
            <a:gd name="T9" fmla="*/ 2147483647 h 56"/>
            <a:gd name="T10" fmla="*/ 2147483647 w 67"/>
            <a:gd name="T11" fmla="*/ 2147483647 h 56"/>
            <a:gd name="T12" fmla="*/ 2147483647 w 67"/>
            <a:gd name="T13" fmla="*/ 2147483647 h 56"/>
            <a:gd name="T14" fmla="*/ 2147483647 w 67"/>
            <a:gd name="T15" fmla="*/ 2147483647 h 56"/>
            <a:gd name="T16" fmla="*/ 2147483647 w 67"/>
            <a:gd name="T17" fmla="*/ 2147483647 h 56"/>
            <a:gd name="T18" fmla="*/ 2147483647 w 67"/>
            <a:gd name="T19" fmla="*/ 2147483647 h 56"/>
            <a:gd name="T20" fmla="*/ 2147483647 w 67"/>
            <a:gd name="T21" fmla="*/ 2147483647 h 56"/>
            <a:gd name="T22" fmla="*/ 0 w 67"/>
            <a:gd name="T23" fmla="*/ 2147483647 h 5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7"/>
            <a:gd name="T37" fmla="*/ 0 h 56"/>
            <a:gd name="T38" fmla="*/ 67 w 67"/>
            <a:gd name="T39" fmla="*/ 56 h 5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7" h="56">
              <a:moveTo>
                <a:pt x="0" y="55"/>
              </a:moveTo>
              <a:cubicBezTo>
                <a:pt x="3" y="47"/>
                <a:pt x="14" y="36"/>
                <a:pt x="20" y="30"/>
              </a:cubicBezTo>
              <a:cubicBezTo>
                <a:pt x="27" y="9"/>
                <a:pt x="31" y="4"/>
                <a:pt x="54" y="3"/>
              </a:cubicBezTo>
              <a:cubicBezTo>
                <a:pt x="56" y="2"/>
                <a:pt x="62" y="0"/>
                <a:pt x="64" y="3"/>
              </a:cubicBezTo>
              <a:cubicBezTo>
                <a:pt x="67" y="7"/>
                <a:pt x="54" y="12"/>
                <a:pt x="54" y="12"/>
              </a:cubicBezTo>
              <a:cubicBezTo>
                <a:pt x="52" y="19"/>
                <a:pt x="55" y="23"/>
                <a:pt x="57" y="29"/>
              </a:cubicBezTo>
              <a:cubicBezTo>
                <a:pt x="57" y="33"/>
                <a:pt x="62" y="51"/>
                <a:pt x="55" y="53"/>
              </a:cubicBezTo>
              <a:cubicBezTo>
                <a:pt x="47" y="52"/>
                <a:pt x="47" y="48"/>
                <a:pt x="40" y="46"/>
              </a:cubicBezTo>
              <a:cubicBezTo>
                <a:pt x="30" y="46"/>
                <a:pt x="21" y="46"/>
                <a:pt x="11" y="47"/>
              </a:cubicBezTo>
              <a:cubicBezTo>
                <a:pt x="10" y="47"/>
                <a:pt x="10" y="49"/>
                <a:pt x="9" y="50"/>
              </a:cubicBezTo>
              <a:cubicBezTo>
                <a:pt x="8" y="51"/>
                <a:pt x="7" y="51"/>
                <a:pt x="6" y="51"/>
              </a:cubicBezTo>
              <a:cubicBezTo>
                <a:pt x="3" y="56"/>
                <a:pt x="5" y="55"/>
                <a:pt x="0" y="55"/>
              </a:cubicBezTo>
              <a:close/>
            </a:path>
          </a:pathLst>
        </a:custGeom>
        <a:solidFill>
          <a:srgbClr val="00CCFF"/>
        </a:solidFill>
        <a:ln w="9525">
          <a:solidFill>
            <a:srgbClr val="000000"/>
          </a:solidFill>
          <a:round/>
          <a:headEnd/>
          <a:tailEnd/>
        </a:ln>
      </xdr:spPr>
    </xdr:sp>
    <xdr:clientData/>
  </xdr:twoCellAnchor>
  <xdr:twoCellAnchor>
    <xdr:from>
      <xdr:col>2</xdr:col>
      <xdr:colOff>161925</xdr:colOff>
      <xdr:row>98</xdr:row>
      <xdr:rowOff>133350</xdr:rowOff>
    </xdr:from>
    <xdr:to>
      <xdr:col>2</xdr:col>
      <xdr:colOff>561975</xdr:colOff>
      <xdr:row>99</xdr:row>
      <xdr:rowOff>209550</xdr:rowOff>
    </xdr:to>
    <xdr:sp macro="" textlink="">
      <xdr:nvSpPr>
        <xdr:cNvPr id="344" name="Freeform 1224"/>
        <xdr:cNvSpPr>
          <a:spLocks/>
        </xdr:cNvSpPr>
      </xdr:nvSpPr>
      <xdr:spPr bwMode="auto">
        <a:xfrm>
          <a:off x="723900" y="19450050"/>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xdr:col>
      <xdr:colOff>200025</xdr:colOff>
      <xdr:row>99</xdr:row>
      <xdr:rowOff>95250</xdr:rowOff>
    </xdr:from>
    <xdr:to>
      <xdr:col>3</xdr:col>
      <xdr:colOff>85725</xdr:colOff>
      <xdr:row>100</xdr:row>
      <xdr:rowOff>85725</xdr:rowOff>
    </xdr:to>
    <xdr:sp macro="" textlink="">
      <xdr:nvSpPr>
        <xdr:cNvPr id="345" name="AutoShape 1225"/>
        <xdr:cNvSpPr>
          <a:spLocks noChangeArrowheads="1"/>
        </xdr:cNvSpPr>
      </xdr:nvSpPr>
      <xdr:spPr bwMode="auto">
        <a:xfrm>
          <a:off x="495300" y="19659600"/>
          <a:ext cx="800100"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xdr:col>
      <xdr:colOff>85725</xdr:colOff>
      <xdr:row>111</xdr:row>
      <xdr:rowOff>180975</xdr:rowOff>
    </xdr:from>
    <xdr:to>
      <xdr:col>2</xdr:col>
      <xdr:colOff>104775</xdr:colOff>
      <xdr:row>113</xdr:row>
      <xdr:rowOff>95250</xdr:rowOff>
    </xdr:to>
    <xdr:sp macro="" textlink="">
      <xdr:nvSpPr>
        <xdr:cNvPr id="346" name="Freeform 1226"/>
        <xdr:cNvSpPr>
          <a:spLocks/>
        </xdr:cNvSpPr>
      </xdr:nvSpPr>
      <xdr:spPr bwMode="auto">
        <a:xfrm>
          <a:off x="381000" y="22964775"/>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3</xdr:col>
      <xdr:colOff>57150</xdr:colOff>
      <xdr:row>111</xdr:row>
      <xdr:rowOff>190500</xdr:rowOff>
    </xdr:from>
    <xdr:to>
      <xdr:col>4</xdr:col>
      <xdr:colOff>257175</xdr:colOff>
      <xdr:row>113</xdr:row>
      <xdr:rowOff>57150</xdr:rowOff>
    </xdr:to>
    <xdr:sp macro="" textlink="">
      <xdr:nvSpPr>
        <xdr:cNvPr id="347" name="Freeform 1227"/>
        <xdr:cNvSpPr>
          <a:spLocks/>
        </xdr:cNvSpPr>
      </xdr:nvSpPr>
      <xdr:spPr bwMode="auto">
        <a:xfrm>
          <a:off x="1266825" y="22974300"/>
          <a:ext cx="46672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11</xdr:col>
      <xdr:colOff>95250</xdr:colOff>
      <xdr:row>99</xdr:row>
      <xdr:rowOff>200025</xdr:rowOff>
    </xdr:from>
    <xdr:to>
      <xdr:col>11</xdr:col>
      <xdr:colOff>523875</xdr:colOff>
      <xdr:row>101</xdr:row>
      <xdr:rowOff>171450</xdr:rowOff>
    </xdr:to>
    <xdr:sp macro="" textlink="">
      <xdr:nvSpPr>
        <xdr:cNvPr id="348" name="Oval 1228"/>
        <xdr:cNvSpPr>
          <a:spLocks noChangeArrowheads="1"/>
        </xdr:cNvSpPr>
      </xdr:nvSpPr>
      <xdr:spPr bwMode="auto">
        <a:xfrm>
          <a:off x="4562475" y="19764375"/>
          <a:ext cx="428625" cy="466725"/>
        </a:xfrm>
        <a:prstGeom prst="ellipse">
          <a:avLst/>
        </a:prstGeom>
        <a:solidFill>
          <a:srgbClr val="FFFF00"/>
        </a:solidFill>
        <a:ln w="9525">
          <a:solidFill>
            <a:srgbClr val="000000"/>
          </a:solidFill>
          <a:round/>
          <a:headEnd/>
          <a:tailEnd/>
        </a:ln>
      </xdr:spPr>
    </xdr:sp>
    <xdr:clientData/>
  </xdr:twoCellAnchor>
  <xdr:twoCellAnchor>
    <xdr:from>
      <xdr:col>11</xdr:col>
      <xdr:colOff>238125</xdr:colOff>
      <xdr:row>101</xdr:row>
      <xdr:rowOff>171450</xdr:rowOff>
    </xdr:from>
    <xdr:to>
      <xdr:col>11</xdr:col>
      <xdr:colOff>419100</xdr:colOff>
      <xdr:row>103</xdr:row>
      <xdr:rowOff>0</xdr:rowOff>
    </xdr:to>
    <xdr:sp macro="" textlink="">
      <xdr:nvSpPr>
        <xdr:cNvPr id="349" name="Text Box 1229"/>
        <xdr:cNvSpPr txBox="1">
          <a:spLocks noChangeArrowheads="1"/>
        </xdr:cNvSpPr>
      </xdr:nvSpPr>
      <xdr:spPr bwMode="auto">
        <a:xfrm>
          <a:off x="4705350" y="20231100"/>
          <a:ext cx="180975" cy="152400"/>
        </a:xfrm>
        <a:prstGeom prst="rect">
          <a:avLst/>
        </a:prstGeom>
        <a:solidFill>
          <a:srgbClr val="FFFF00"/>
        </a:solidFill>
        <a:ln w="9525">
          <a:noFill/>
          <a:miter lim="800000"/>
          <a:headEnd/>
          <a:tailEnd/>
        </a:ln>
      </xdr:spPr>
    </xdr:sp>
    <xdr:clientData/>
  </xdr:twoCellAnchor>
  <xdr:twoCellAnchor>
    <xdr:from>
      <xdr:col>10</xdr:col>
      <xdr:colOff>19050</xdr:colOff>
      <xdr:row>101</xdr:row>
      <xdr:rowOff>142875</xdr:rowOff>
    </xdr:from>
    <xdr:to>
      <xdr:col>11</xdr:col>
      <xdr:colOff>276225</xdr:colOff>
      <xdr:row>103</xdr:row>
      <xdr:rowOff>28575</xdr:rowOff>
    </xdr:to>
    <xdr:sp macro="" textlink="">
      <xdr:nvSpPr>
        <xdr:cNvPr id="350" name="Freeform 1230"/>
        <xdr:cNvSpPr>
          <a:spLocks/>
        </xdr:cNvSpPr>
      </xdr:nvSpPr>
      <xdr:spPr bwMode="auto">
        <a:xfrm>
          <a:off x="4219575" y="20202525"/>
          <a:ext cx="523875" cy="209550"/>
        </a:xfrm>
        <a:custGeom>
          <a:avLst/>
          <a:gdLst>
            <a:gd name="T0" fmla="*/ 2147483647 w 58"/>
            <a:gd name="T1" fmla="*/ 0 h 24"/>
            <a:gd name="T2" fmla="*/ 2147483647 w 58"/>
            <a:gd name="T3" fmla="*/ 2147483647 h 24"/>
            <a:gd name="T4" fmla="*/ 2147483647 w 58"/>
            <a:gd name="T5" fmla="*/ 2147483647 h 24"/>
            <a:gd name="T6" fmla="*/ 0 w 58"/>
            <a:gd name="T7" fmla="*/ 2147483647 h 24"/>
            <a:gd name="T8" fmla="*/ 0 60000 65536"/>
            <a:gd name="T9" fmla="*/ 0 60000 65536"/>
            <a:gd name="T10" fmla="*/ 0 60000 65536"/>
            <a:gd name="T11" fmla="*/ 0 60000 65536"/>
            <a:gd name="T12" fmla="*/ 0 w 58"/>
            <a:gd name="T13" fmla="*/ 0 h 24"/>
            <a:gd name="T14" fmla="*/ 58 w 58"/>
            <a:gd name="T15" fmla="*/ 24 h 24"/>
          </a:gdLst>
          <a:ahLst/>
          <a:cxnLst>
            <a:cxn ang="T8">
              <a:pos x="T0" y="T1"/>
            </a:cxn>
            <a:cxn ang="T9">
              <a:pos x="T2" y="T3"/>
            </a:cxn>
            <a:cxn ang="T10">
              <a:pos x="T4" y="T5"/>
            </a:cxn>
            <a:cxn ang="T11">
              <a:pos x="T6" y="T7"/>
            </a:cxn>
          </a:cxnLst>
          <a:rect l="T12" t="T13" r="T14" b="T15"/>
          <a:pathLst>
            <a:path w="58" h="24">
              <a:moveTo>
                <a:pt x="52" y="0"/>
              </a:moveTo>
              <a:cubicBezTo>
                <a:pt x="58" y="18"/>
                <a:pt x="34" y="12"/>
                <a:pt x="21" y="13"/>
              </a:cubicBezTo>
              <a:cubicBezTo>
                <a:pt x="15" y="17"/>
                <a:pt x="8" y="15"/>
                <a:pt x="1" y="17"/>
              </a:cubicBezTo>
              <a:cubicBezTo>
                <a:pt x="0" y="21"/>
                <a:pt x="0" y="19"/>
                <a:pt x="0" y="24"/>
              </a:cubicBezTo>
            </a:path>
          </a:pathLst>
        </a:custGeom>
        <a:noFill/>
        <a:ln w="9525">
          <a:solidFill>
            <a:srgbClr val="000000"/>
          </a:solidFill>
          <a:round/>
          <a:headEnd/>
          <a:tailEnd/>
        </a:ln>
      </xdr:spPr>
    </xdr:sp>
    <xdr:clientData/>
  </xdr:twoCellAnchor>
  <xdr:twoCellAnchor>
    <xdr:from>
      <xdr:col>11</xdr:col>
      <xdr:colOff>409575</xdr:colOff>
      <xdr:row>101</xdr:row>
      <xdr:rowOff>161925</xdr:rowOff>
    </xdr:from>
    <xdr:to>
      <xdr:col>12</xdr:col>
      <xdr:colOff>295275</xdr:colOff>
      <xdr:row>103</xdr:row>
      <xdr:rowOff>9525</xdr:rowOff>
    </xdr:to>
    <xdr:sp macro="" textlink="">
      <xdr:nvSpPr>
        <xdr:cNvPr id="351" name="Freeform 1231"/>
        <xdr:cNvSpPr>
          <a:spLocks/>
        </xdr:cNvSpPr>
      </xdr:nvSpPr>
      <xdr:spPr bwMode="auto">
        <a:xfrm>
          <a:off x="4876800" y="20221575"/>
          <a:ext cx="609600" cy="171450"/>
        </a:xfrm>
        <a:custGeom>
          <a:avLst/>
          <a:gdLst>
            <a:gd name="T0" fmla="*/ 0 w 48"/>
            <a:gd name="T1" fmla="*/ 0 h 18"/>
            <a:gd name="T2" fmla="*/ 2147483647 w 48"/>
            <a:gd name="T3" fmla="*/ 2147483647 h 18"/>
            <a:gd name="T4" fmla="*/ 2147483647 w 48"/>
            <a:gd name="T5" fmla="*/ 2147483647 h 18"/>
            <a:gd name="T6" fmla="*/ 2147483647 w 48"/>
            <a:gd name="T7" fmla="*/ 2147483647 h 18"/>
            <a:gd name="T8" fmla="*/ 2147483647 w 48"/>
            <a:gd name="T9" fmla="*/ 2147483647 h 18"/>
            <a:gd name="T10" fmla="*/ 0 60000 65536"/>
            <a:gd name="T11" fmla="*/ 0 60000 65536"/>
            <a:gd name="T12" fmla="*/ 0 60000 65536"/>
            <a:gd name="T13" fmla="*/ 0 60000 65536"/>
            <a:gd name="T14" fmla="*/ 0 60000 65536"/>
            <a:gd name="T15" fmla="*/ 0 w 48"/>
            <a:gd name="T16" fmla="*/ 0 h 18"/>
            <a:gd name="T17" fmla="*/ 48 w 48"/>
            <a:gd name="T18" fmla="*/ 18 h 18"/>
          </a:gdLst>
          <a:ahLst/>
          <a:cxnLst>
            <a:cxn ang="T10">
              <a:pos x="T0" y="T1"/>
            </a:cxn>
            <a:cxn ang="T11">
              <a:pos x="T2" y="T3"/>
            </a:cxn>
            <a:cxn ang="T12">
              <a:pos x="T4" y="T5"/>
            </a:cxn>
            <a:cxn ang="T13">
              <a:pos x="T6" y="T7"/>
            </a:cxn>
            <a:cxn ang="T14">
              <a:pos x="T8" y="T9"/>
            </a:cxn>
          </a:cxnLst>
          <a:rect l="T15" t="T16" r="T17" b="T18"/>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a:solidFill>
            <a:srgbClr val="000000"/>
          </a:solidFill>
          <a:round/>
          <a:headEnd/>
          <a:tailEnd/>
        </a:ln>
      </xdr:spPr>
    </xdr:sp>
    <xdr:clientData/>
  </xdr:twoCellAnchor>
  <xdr:twoCellAnchor>
    <xdr:from>
      <xdr:col>9</xdr:col>
      <xdr:colOff>171450</xdr:colOff>
      <xdr:row>102</xdr:row>
      <xdr:rowOff>38100</xdr:rowOff>
    </xdr:from>
    <xdr:to>
      <xdr:col>11</xdr:col>
      <xdr:colOff>0</xdr:colOff>
      <xdr:row>106</xdr:row>
      <xdr:rowOff>76200</xdr:rowOff>
    </xdr:to>
    <xdr:sp macro="" textlink="">
      <xdr:nvSpPr>
        <xdr:cNvPr id="352" name="Freeform 1232"/>
        <xdr:cNvSpPr>
          <a:spLocks/>
        </xdr:cNvSpPr>
      </xdr:nvSpPr>
      <xdr:spPr bwMode="auto">
        <a:xfrm>
          <a:off x="3971925" y="20345400"/>
          <a:ext cx="495300" cy="1371600"/>
        </a:xfrm>
        <a:custGeom>
          <a:avLst/>
          <a:gdLst>
            <a:gd name="T0" fmla="*/ 2147483647 w 50"/>
            <a:gd name="T1" fmla="*/ 2147483647 h 114"/>
            <a:gd name="T2" fmla="*/ 2147483647 w 50"/>
            <a:gd name="T3" fmla="*/ 2147483647 h 114"/>
            <a:gd name="T4" fmla="*/ 2147483647 w 50"/>
            <a:gd name="T5" fmla="*/ 2147483647 h 114"/>
            <a:gd name="T6" fmla="*/ 2147483647 w 50"/>
            <a:gd name="T7" fmla="*/ 2147483647 h 114"/>
            <a:gd name="T8" fmla="*/ 2147483647 w 50"/>
            <a:gd name="T9" fmla="*/ 2147483647 h 114"/>
            <a:gd name="T10" fmla="*/ 2147483647 w 50"/>
            <a:gd name="T11" fmla="*/ 2147483647 h 114"/>
            <a:gd name="T12" fmla="*/ 2147483647 w 50"/>
            <a:gd name="T13" fmla="*/ 2147483647 h 114"/>
            <a:gd name="T14" fmla="*/ 2147483647 w 50"/>
            <a:gd name="T15" fmla="*/ 2147483647 h 114"/>
            <a:gd name="T16" fmla="*/ 2147483647 w 50"/>
            <a:gd name="T17" fmla="*/ 0 h 11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0"/>
            <a:gd name="T28" fmla="*/ 0 h 114"/>
            <a:gd name="T29" fmla="*/ 50 w 50"/>
            <a:gd name="T30" fmla="*/ 114 h 114"/>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FF0000"/>
        </a:solidFill>
        <a:ln w="9525">
          <a:solidFill>
            <a:srgbClr val="000000"/>
          </a:solidFill>
          <a:round/>
          <a:headEnd/>
          <a:tailEnd/>
        </a:ln>
      </xdr:spPr>
    </xdr:sp>
    <xdr:clientData/>
  </xdr:twoCellAnchor>
  <xdr:twoCellAnchor>
    <xdr:from>
      <xdr:col>10</xdr:col>
      <xdr:colOff>19050</xdr:colOff>
      <xdr:row>106</xdr:row>
      <xdr:rowOff>38100</xdr:rowOff>
    </xdr:from>
    <xdr:to>
      <xdr:col>10</xdr:col>
      <xdr:colOff>171450</xdr:colOff>
      <xdr:row>107</xdr:row>
      <xdr:rowOff>152400</xdr:rowOff>
    </xdr:to>
    <xdr:sp macro="" textlink="">
      <xdr:nvSpPr>
        <xdr:cNvPr id="353" name="Freeform 1233"/>
        <xdr:cNvSpPr>
          <a:spLocks/>
        </xdr:cNvSpPr>
      </xdr:nvSpPr>
      <xdr:spPr bwMode="auto">
        <a:xfrm>
          <a:off x="4219575" y="21678900"/>
          <a:ext cx="152400" cy="266700"/>
        </a:xfrm>
        <a:custGeom>
          <a:avLst/>
          <a:gdLst>
            <a:gd name="T0" fmla="*/ 2147483647 w 14"/>
            <a:gd name="T1" fmla="*/ 2147483647 h 26"/>
            <a:gd name="T2" fmla="*/ 2147483647 w 14"/>
            <a:gd name="T3" fmla="*/ 2147483647 h 26"/>
            <a:gd name="T4" fmla="*/ 2147483647 w 14"/>
            <a:gd name="T5" fmla="*/ 0 h 26"/>
            <a:gd name="T6" fmla="*/ 0 60000 65536"/>
            <a:gd name="T7" fmla="*/ 0 60000 65536"/>
            <a:gd name="T8" fmla="*/ 0 60000 65536"/>
            <a:gd name="T9" fmla="*/ 0 w 14"/>
            <a:gd name="T10" fmla="*/ 0 h 26"/>
            <a:gd name="T11" fmla="*/ 14 w 14"/>
            <a:gd name="T12" fmla="*/ 26 h 26"/>
          </a:gdLst>
          <a:ahLst/>
          <a:cxnLst>
            <a:cxn ang="T6">
              <a:pos x="T0" y="T1"/>
            </a:cxn>
            <a:cxn ang="T7">
              <a:pos x="T2" y="T3"/>
            </a:cxn>
            <a:cxn ang="T8">
              <a:pos x="T4" y="T5"/>
            </a:cxn>
          </a:cxnLst>
          <a:rect l="T9" t="T10" r="T11" b="T12"/>
          <a:pathLst>
            <a:path w="14" h="26">
              <a:moveTo>
                <a:pt x="5" y="3"/>
              </a:moveTo>
              <a:cubicBezTo>
                <a:pt x="1" y="9"/>
                <a:pt x="0" y="22"/>
                <a:pt x="8" y="25"/>
              </a:cubicBezTo>
              <a:cubicBezTo>
                <a:pt x="10" y="6"/>
                <a:pt x="14" y="26"/>
                <a:pt x="14" y="0"/>
              </a:cubicBezTo>
            </a:path>
          </a:pathLst>
        </a:custGeom>
        <a:solidFill>
          <a:srgbClr val="FFCC00"/>
        </a:solidFill>
        <a:ln w="9525">
          <a:solidFill>
            <a:srgbClr val="000000"/>
          </a:solidFill>
          <a:round/>
          <a:headEnd/>
          <a:tailEnd/>
        </a:ln>
      </xdr:spPr>
    </xdr:sp>
    <xdr:clientData/>
  </xdr:twoCellAnchor>
  <xdr:twoCellAnchor>
    <xdr:from>
      <xdr:col>11</xdr:col>
      <xdr:colOff>609600</xdr:colOff>
      <xdr:row>102</xdr:row>
      <xdr:rowOff>66675</xdr:rowOff>
    </xdr:from>
    <xdr:to>
      <xdr:col>13</xdr:col>
      <xdr:colOff>85725</xdr:colOff>
      <xdr:row>106</xdr:row>
      <xdr:rowOff>28575</xdr:rowOff>
    </xdr:to>
    <xdr:sp macro="" textlink="">
      <xdr:nvSpPr>
        <xdr:cNvPr id="354" name="Freeform 1234"/>
        <xdr:cNvSpPr>
          <a:spLocks/>
        </xdr:cNvSpPr>
      </xdr:nvSpPr>
      <xdr:spPr bwMode="auto">
        <a:xfrm>
          <a:off x="5076825" y="20373975"/>
          <a:ext cx="523875" cy="1295400"/>
        </a:xfrm>
        <a:custGeom>
          <a:avLst/>
          <a:gdLst>
            <a:gd name="T0" fmla="*/ 2147483647 w 35"/>
            <a:gd name="T1" fmla="*/ 0 h 106"/>
            <a:gd name="T2" fmla="*/ 2147483647 w 35"/>
            <a:gd name="T3" fmla="*/ 2147483647 h 106"/>
            <a:gd name="T4" fmla="*/ 2147483647 w 35"/>
            <a:gd name="T5" fmla="*/ 2147483647 h 106"/>
            <a:gd name="T6" fmla="*/ 2147483647 w 35"/>
            <a:gd name="T7" fmla="*/ 2147483647 h 106"/>
            <a:gd name="T8" fmla="*/ 2147483647 w 35"/>
            <a:gd name="T9" fmla="*/ 2147483647 h 106"/>
            <a:gd name="T10" fmla="*/ 2147483647 w 35"/>
            <a:gd name="T11" fmla="*/ 2147483647 h 106"/>
            <a:gd name="T12" fmla="*/ 2147483647 w 35"/>
            <a:gd name="T13" fmla="*/ 2147483647 h 106"/>
            <a:gd name="T14" fmla="*/ 2147483647 w 35"/>
            <a:gd name="T15" fmla="*/ 2147483647 h 106"/>
            <a:gd name="T16" fmla="*/ 2147483647 w 35"/>
            <a:gd name="T17" fmla="*/ 2147483647 h 106"/>
            <a:gd name="T18" fmla="*/ 2147483647 w 35"/>
            <a:gd name="T19" fmla="*/ 2147483647 h 106"/>
            <a:gd name="T20" fmla="*/ 2147483647 w 35"/>
            <a:gd name="T21" fmla="*/ 2147483647 h 106"/>
            <a:gd name="T22" fmla="*/ 2147483647 w 35"/>
            <a:gd name="T23" fmla="*/ 2147483647 h 10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35"/>
            <a:gd name="T37" fmla="*/ 0 h 106"/>
            <a:gd name="T38" fmla="*/ 35 w 35"/>
            <a:gd name="T39" fmla="*/ 106 h 10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FF0000"/>
        </a:solidFill>
        <a:ln w="9525">
          <a:solidFill>
            <a:srgbClr val="000000"/>
          </a:solidFill>
          <a:round/>
          <a:headEnd/>
          <a:tailEnd/>
        </a:ln>
      </xdr:spPr>
    </xdr:sp>
    <xdr:clientData/>
  </xdr:twoCellAnchor>
  <xdr:twoCellAnchor>
    <xdr:from>
      <xdr:col>10</xdr:col>
      <xdr:colOff>200025</xdr:colOff>
      <xdr:row>99</xdr:row>
      <xdr:rowOff>95250</xdr:rowOff>
    </xdr:from>
    <xdr:to>
      <xdr:col>12</xdr:col>
      <xdr:colOff>9525</xdr:colOff>
      <xdr:row>101</xdr:row>
      <xdr:rowOff>209550</xdr:rowOff>
    </xdr:to>
    <xdr:sp macro="" textlink="">
      <xdr:nvSpPr>
        <xdr:cNvPr id="355" name="Freeform 1235"/>
        <xdr:cNvSpPr>
          <a:spLocks/>
        </xdr:cNvSpPr>
      </xdr:nvSpPr>
      <xdr:spPr bwMode="auto">
        <a:xfrm>
          <a:off x="4400550" y="19659600"/>
          <a:ext cx="800100" cy="609600"/>
        </a:xfrm>
        <a:custGeom>
          <a:avLst/>
          <a:gdLst>
            <a:gd name="T0" fmla="*/ 2147483647 w 76"/>
            <a:gd name="T1" fmla="*/ 2147483647 h 64"/>
            <a:gd name="T2" fmla="*/ 2147483647 w 76"/>
            <a:gd name="T3" fmla="*/ 2147483647 h 64"/>
            <a:gd name="T4" fmla="*/ 2147483647 w 76"/>
            <a:gd name="T5" fmla="*/ 2147483647 h 64"/>
            <a:gd name="T6" fmla="*/ 2147483647 w 76"/>
            <a:gd name="T7" fmla="*/ 2147483647 h 64"/>
            <a:gd name="T8" fmla="*/ 2147483647 w 76"/>
            <a:gd name="T9" fmla="*/ 2147483647 h 64"/>
            <a:gd name="T10" fmla="*/ 2147483647 w 76"/>
            <a:gd name="T11" fmla="*/ 2147483647 h 64"/>
            <a:gd name="T12" fmla="*/ 2147483647 w 76"/>
            <a:gd name="T13" fmla="*/ 2147483647 h 64"/>
            <a:gd name="T14" fmla="*/ 2147483647 w 76"/>
            <a:gd name="T15" fmla="*/ 2147483647 h 64"/>
            <a:gd name="T16" fmla="*/ 2147483647 w 76"/>
            <a:gd name="T17" fmla="*/ 2147483647 h 64"/>
            <a:gd name="T18" fmla="*/ 2147483647 w 76"/>
            <a:gd name="T19" fmla="*/ 2147483647 h 64"/>
            <a:gd name="T20" fmla="*/ 2147483647 w 76"/>
            <a:gd name="T21" fmla="*/ 0 h 64"/>
            <a:gd name="T22" fmla="*/ 2147483647 w 76"/>
            <a:gd name="T23" fmla="*/ 2147483647 h 64"/>
            <a:gd name="T24" fmla="*/ 2147483647 w 76"/>
            <a:gd name="T25" fmla="*/ 2147483647 h 64"/>
            <a:gd name="T26" fmla="*/ 2147483647 w 76"/>
            <a:gd name="T27" fmla="*/ 2147483647 h 64"/>
            <a:gd name="T28" fmla="*/ 2147483647 w 76"/>
            <a:gd name="T29" fmla="*/ 2147483647 h 64"/>
            <a:gd name="T30" fmla="*/ 2147483647 w 76"/>
            <a:gd name="T31" fmla="*/ 2147483647 h 64"/>
            <a:gd name="T32" fmla="*/ 2147483647 w 76"/>
            <a:gd name="T33" fmla="*/ 2147483647 h 64"/>
            <a:gd name="T34" fmla="*/ 2147483647 w 76"/>
            <a:gd name="T35" fmla="*/ 2147483647 h 64"/>
            <a:gd name="T36" fmla="*/ 2147483647 w 76"/>
            <a:gd name="T37" fmla="*/ 2147483647 h 64"/>
            <a:gd name="T38" fmla="*/ 2147483647 w 76"/>
            <a:gd name="T39" fmla="*/ 2147483647 h 64"/>
            <a:gd name="T40" fmla="*/ 2147483647 w 76"/>
            <a:gd name="T41" fmla="*/ 2147483647 h 64"/>
            <a:gd name="T42" fmla="*/ 2147483647 w 76"/>
            <a:gd name="T43" fmla="*/ 2147483647 h 64"/>
            <a:gd name="T44" fmla="*/ 2147483647 w 76"/>
            <a:gd name="T45" fmla="*/ 2147483647 h 64"/>
            <a:gd name="T46" fmla="*/ 2147483647 w 76"/>
            <a:gd name="T47" fmla="*/ 2147483647 h 64"/>
            <a:gd name="T48" fmla="*/ 2147483647 w 76"/>
            <a:gd name="T49" fmla="*/ 2147483647 h 64"/>
            <a:gd name="T50" fmla="*/ 2147483647 w 76"/>
            <a:gd name="T51" fmla="*/ 2147483647 h 64"/>
            <a:gd name="T52" fmla="*/ 2147483647 w 76"/>
            <a:gd name="T53" fmla="*/ 2147483647 h 64"/>
            <a:gd name="T54" fmla="*/ 2147483647 w 76"/>
            <a:gd name="T55" fmla="*/ 2147483647 h 64"/>
            <a:gd name="T56" fmla="*/ 2147483647 w 76"/>
            <a:gd name="T57" fmla="*/ 2147483647 h 64"/>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76"/>
            <a:gd name="T88" fmla="*/ 0 h 64"/>
            <a:gd name="T89" fmla="*/ 76 w 76"/>
            <a:gd name="T90" fmla="*/ 64 h 64"/>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a:solidFill>
            <a:srgbClr val="000000"/>
          </a:solidFill>
          <a:round/>
          <a:headEnd/>
          <a:tailEnd/>
        </a:ln>
      </xdr:spPr>
    </xdr:sp>
    <xdr:clientData/>
  </xdr:twoCellAnchor>
  <xdr:twoCellAnchor>
    <xdr:from>
      <xdr:col>11</xdr:col>
      <xdr:colOff>200025</xdr:colOff>
      <xdr:row>100</xdr:row>
      <xdr:rowOff>104775</xdr:rowOff>
    </xdr:from>
    <xdr:to>
      <xdr:col>11</xdr:col>
      <xdr:colOff>266700</xdr:colOff>
      <xdr:row>100</xdr:row>
      <xdr:rowOff>228600</xdr:rowOff>
    </xdr:to>
    <xdr:sp macro="" textlink="">
      <xdr:nvSpPr>
        <xdr:cNvPr id="356" name="Freeform 1236"/>
        <xdr:cNvSpPr>
          <a:spLocks/>
        </xdr:cNvSpPr>
      </xdr:nvSpPr>
      <xdr:spPr bwMode="auto">
        <a:xfrm>
          <a:off x="4667250" y="199167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352425</xdr:colOff>
      <xdr:row>100</xdr:row>
      <xdr:rowOff>104775</xdr:rowOff>
    </xdr:from>
    <xdr:to>
      <xdr:col>11</xdr:col>
      <xdr:colOff>419100</xdr:colOff>
      <xdr:row>100</xdr:row>
      <xdr:rowOff>228600</xdr:rowOff>
    </xdr:to>
    <xdr:sp macro="" textlink="">
      <xdr:nvSpPr>
        <xdr:cNvPr id="357" name="Freeform 1237"/>
        <xdr:cNvSpPr>
          <a:spLocks/>
        </xdr:cNvSpPr>
      </xdr:nvSpPr>
      <xdr:spPr bwMode="auto">
        <a:xfrm>
          <a:off x="4819650" y="19916775"/>
          <a:ext cx="66675" cy="123825"/>
        </a:xfrm>
        <a:custGeom>
          <a:avLst/>
          <a:gdLst>
            <a:gd name="T0" fmla="*/ 0 w 7"/>
            <a:gd name="T1" fmla="*/ 2147483647 h 13"/>
            <a:gd name="T2" fmla="*/ 2147483647 w 7"/>
            <a:gd name="T3" fmla="*/ 2147483647 h 13"/>
            <a:gd name="T4" fmla="*/ 0 w 7"/>
            <a:gd name="T5" fmla="*/ 2147483647 h 13"/>
            <a:gd name="T6" fmla="*/ 0 60000 65536"/>
            <a:gd name="T7" fmla="*/ 0 60000 65536"/>
            <a:gd name="T8" fmla="*/ 0 60000 65536"/>
            <a:gd name="T9" fmla="*/ 0 w 7"/>
            <a:gd name="T10" fmla="*/ 0 h 13"/>
            <a:gd name="T11" fmla="*/ 7 w 7"/>
            <a:gd name="T12" fmla="*/ 13 h 13"/>
          </a:gdLst>
          <a:ahLst/>
          <a:cxnLst>
            <a:cxn ang="T6">
              <a:pos x="T0" y="T1"/>
            </a:cxn>
            <a:cxn ang="T7">
              <a:pos x="T2" y="T3"/>
            </a:cxn>
            <a:cxn ang="T8">
              <a:pos x="T4" y="T5"/>
            </a:cxn>
          </a:cxnLst>
          <a:rect l="T9" t="T10" r="T11" b="T12"/>
          <a:pathLst>
            <a:path w="7" h="13">
              <a:moveTo>
                <a:pt x="0" y="10"/>
              </a:moveTo>
              <a:cubicBezTo>
                <a:pt x="1" y="2"/>
                <a:pt x="3" y="0"/>
                <a:pt x="7" y="7"/>
              </a:cubicBezTo>
              <a:cubicBezTo>
                <a:pt x="6" y="13"/>
                <a:pt x="7" y="11"/>
                <a:pt x="0" y="10"/>
              </a:cubicBezTo>
              <a:close/>
            </a:path>
          </a:pathLst>
        </a:custGeom>
        <a:solidFill>
          <a:srgbClr val="00CCFF"/>
        </a:solidFill>
        <a:ln w="9525">
          <a:solidFill>
            <a:srgbClr val="000000"/>
          </a:solidFill>
          <a:round/>
          <a:headEnd/>
          <a:tailEnd/>
        </a:ln>
      </xdr:spPr>
    </xdr:sp>
    <xdr:clientData/>
  </xdr:twoCellAnchor>
  <xdr:twoCellAnchor>
    <xdr:from>
      <xdr:col>11</xdr:col>
      <xdr:colOff>171450</xdr:colOff>
      <xdr:row>100</xdr:row>
      <xdr:rowOff>76200</xdr:rowOff>
    </xdr:from>
    <xdr:to>
      <xdr:col>11</xdr:col>
      <xdr:colOff>266700</xdr:colOff>
      <xdr:row>100</xdr:row>
      <xdr:rowOff>114300</xdr:rowOff>
    </xdr:to>
    <xdr:sp macro="" textlink="">
      <xdr:nvSpPr>
        <xdr:cNvPr id="358" name="Freeform 1238"/>
        <xdr:cNvSpPr>
          <a:spLocks/>
        </xdr:cNvSpPr>
      </xdr:nvSpPr>
      <xdr:spPr bwMode="auto">
        <a:xfrm>
          <a:off x="4638675" y="19888200"/>
          <a:ext cx="95250" cy="38100"/>
        </a:xfrm>
        <a:custGeom>
          <a:avLst/>
          <a:gdLst>
            <a:gd name="T0" fmla="*/ 2147483647 w 10"/>
            <a:gd name="T1" fmla="*/ 2147483647 h 4"/>
            <a:gd name="T2" fmla="*/ 0 w 10"/>
            <a:gd name="T3" fmla="*/ 2147483647 h 4"/>
            <a:gd name="T4" fmla="*/ 0 60000 65536"/>
            <a:gd name="T5" fmla="*/ 0 60000 65536"/>
            <a:gd name="T6" fmla="*/ 0 w 10"/>
            <a:gd name="T7" fmla="*/ 0 h 4"/>
            <a:gd name="T8" fmla="*/ 10 w 10"/>
            <a:gd name="T9" fmla="*/ 4 h 4"/>
          </a:gdLst>
          <a:ahLst/>
          <a:cxnLst>
            <a:cxn ang="T4">
              <a:pos x="T0" y="T1"/>
            </a:cxn>
            <a:cxn ang="T5">
              <a:pos x="T2" y="T3"/>
            </a:cxn>
          </a:cxnLst>
          <a:rect l="T6" t="T7" r="T8" b="T9"/>
          <a:pathLst>
            <a:path w="10" h="4">
              <a:moveTo>
                <a:pt x="10" y="1"/>
              </a:moveTo>
              <a:cubicBezTo>
                <a:pt x="1" y="2"/>
                <a:pt x="4" y="0"/>
                <a:pt x="0" y="4"/>
              </a:cubicBezTo>
            </a:path>
          </a:pathLst>
        </a:custGeom>
        <a:noFill/>
        <a:ln w="19050">
          <a:solidFill>
            <a:srgbClr val="000000"/>
          </a:solidFill>
          <a:round/>
          <a:headEnd/>
          <a:tailEnd/>
        </a:ln>
      </xdr:spPr>
    </xdr:sp>
    <xdr:clientData/>
  </xdr:twoCellAnchor>
  <xdr:twoCellAnchor>
    <xdr:from>
      <xdr:col>11</xdr:col>
      <xdr:colOff>352425</xdr:colOff>
      <xdr:row>100</xdr:row>
      <xdr:rowOff>76200</xdr:rowOff>
    </xdr:from>
    <xdr:to>
      <xdr:col>11</xdr:col>
      <xdr:colOff>438150</xdr:colOff>
      <xdr:row>100</xdr:row>
      <xdr:rowOff>85725</xdr:rowOff>
    </xdr:to>
    <xdr:sp macro="" textlink="">
      <xdr:nvSpPr>
        <xdr:cNvPr id="359" name="Freeform 1239"/>
        <xdr:cNvSpPr>
          <a:spLocks/>
        </xdr:cNvSpPr>
      </xdr:nvSpPr>
      <xdr:spPr bwMode="auto">
        <a:xfrm>
          <a:off x="4819650" y="19888200"/>
          <a:ext cx="85725" cy="9525"/>
        </a:xfrm>
        <a:custGeom>
          <a:avLst/>
          <a:gdLst>
            <a:gd name="T0" fmla="*/ 0 w 9"/>
            <a:gd name="T1" fmla="*/ 0 h 1"/>
            <a:gd name="T2" fmla="*/ 2147483647 w 9"/>
            <a:gd name="T3" fmla="*/ 2147483647 h 1"/>
            <a:gd name="T4" fmla="*/ 0 60000 65536"/>
            <a:gd name="T5" fmla="*/ 0 60000 65536"/>
            <a:gd name="T6" fmla="*/ 0 w 9"/>
            <a:gd name="T7" fmla="*/ 0 h 1"/>
            <a:gd name="T8" fmla="*/ 9 w 9"/>
            <a:gd name="T9" fmla="*/ 1 h 1"/>
          </a:gdLst>
          <a:ahLst/>
          <a:cxnLst>
            <a:cxn ang="T4">
              <a:pos x="T0" y="T1"/>
            </a:cxn>
            <a:cxn ang="T5">
              <a:pos x="T2" y="T3"/>
            </a:cxn>
          </a:cxnLst>
          <a:rect l="T6" t="T7" r="T8" b="T9"/>
          <a:pathLst>
            <a:path w="9" h="1">
              <a:moveTo>
                <a:pt x="0" y="0"/>
              </a:moveTo>
              <a:cubicBezTo>
                <a:pt x="8" y="1"/>
                <a:pt x="5" y="1"/>
                <a:pt x="9" y="1"/>
              </a:cubicBezTo>
            </a:path>
          </a:pathLst>
        </a:custGeom>
        <a:noFill/>
        <a:ln w="19050">
          <a:solidFill>
            <a:srgbClr val="000000"/>
          </a:solidFill>
          <a:round/>
          <a:headEnd/>
          <a:tailEnd/>
        </a:ln>
      </xdr:spPr>
    </xdr:sp>
    <xdr:clientData/>
  </xdr:twoCellAnchor>
  <xdr:twoCellAnchor>
    <xdr:from>
      <xdr:col>11</xdr:col>
      <xdr:colOff>247650</xdr:colOff>
      <xdr:row>101</xdr:row>
      <xdr:rowOff>66675</xdr:rowOff>
    </xdr:from>
    <xdr:to>
      <xdr:col>11</xdr:col>
      <xdr:colOff>409575</xdr:colOff>
      <xdr:row>101</xdr:row>
      <xdr:rowOff>114300</xdr:rowOff>
    </xdr:to>
    <xdr:sp macro="" textlink="">
      <xdr:nvSpPr>
        <xdr:cNvPr id="360" name="Freeform 1240"/>
        <xdr:cNvSpPr>
          <a:spLocks/>
        </xdr:cNvSpPr>
      </xdr:nvSpPr>
      <xdr:spPr bwMode="auto">
        <a:xfrm>
          <a:off x="4714875" y="20126325"/>
          <a:ext cx="161925" cy="47625"/>
        </a:xfrm>
        <a:custGeom>
          <a:avLst/>
          <a:gdLst>
            <a:gd name="T0" fmla="*/ 0 w 17"/>
            <a:gd name="T1" fmla="*/ 2147483647 h 5"/>
            <a:gd name="T2" fmla="*/ 2147483647 w 17"/>
            <a:gd name="T3" fmla="*/ 2147483647 h 5"/>
            <a:gd name="T4" fmla="*/ 2147483647 w 17"/>
            <a:gd name="T5" fmla="*/ 2147483647 h 5"/>
            <a:gd name="T6" fmla="*/ 0 w 17"/>
            <a:gd name="T7" fmla="*/ 2147483647 h 5"/>
            <a:gd name="T8" fmla="*/ 0 60000 65536"/>
            <a:gd name="T9" fmla="*/ 0 60000 65536"/>
            <a:gd name="T10" fmla="*/ 0 60000 65536"/>
            <a:gd name="T11" fmla="*/ 0 60000 65536"/>
            <a:gd name="T12" fmla="*/ 0 w 17"/>
            <a:gd name="T13" fmla="*/ 0 h 5"/>
            <a:gd name="T14" fmla="*/ 17 w 17"/>
            <a:gd name="T15" fmla="*/ 5 h 5"/>
          </a:gdLst>
          <a:ahLst/>
          <a:cxnLst>
            <a:cxn ang="T8">
              <a:pos x="T0" y="T1"/>
            </a:cxn>
            <a:cxn ang="T9">
              <a:pos x="T2" y="T3"/>
            </a:cxn>
            <a:cxn ang="T10">
              <a:pos x="T4" y="T5"/>
            </a:cxn>
            <a:cxn ang="T11">
              <a:pos x="T6" y="T7"/>
            </a:cxn>
          </a:cxnLst>
          <a:rect l="T12" t="T13" r="T14" b="T15"/>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a:solidFill>
            <a:srgbClr val="000000"/>
          </a:solidFill>
          <a:round/>
          <a:headEnd/>
          <a:tailEnd/>
        </a:ln>
      </xdr:spPr>
    </xdr:sp>
    <xdr:clientData/>
  </xdr:twoCellAnchor>
  <xdr:twoCellAnchor>
    <xdr:from>
      <xdr:col>11</xdr:col>
      <xdr:colOff>295275</xdr:colOff>
      <xdr:row>100</xdr:row>
      <xdr:rowOff>200025</xdr:rowOff>
    </xdr:from>
    <xdr:to>
      <xdr:col>11</xdr:col>
      <xdr:colOff>323850</xdr:colOff>
      <xdr:row>101</xdr:row>
      <xdr:rowOff>104775</xdr:rowOff>
    </xdr:to>
    <xdr:sp macro="" textlink="">
      <xdr:nvSpPr>
        <xdr:cNvPr id="361" name="Freeform 1241"/>
        <xdr:cNvSpPr>
          <a:spLocks/>
        </xdr:cNvSpPr>
      </xdr:nvSpPr>
      <xdr:spPr bwMode="auto">
        <a:xfrm>
          <a:off x="4762500" y="20012025"/>
          <a:ext cx="28575" cy="152400"/>
        </a:xfrm>
        <a:custGeom>
          <a:avLst/>
          <a:gdLst>
            <a:gd name="T0" fmla="*/ 0 w 3"/>
            <a:gd name="T1" fmla="*/ 0 h 16"/>
            <a:gd name="T2" fmla="*/ 0 w 3"/>
            <a:gd name="T3" fmla="*/ 0 h 16"/>
            <a:gd name="T4" fmla="*/ 0 60000 65536"/>
            <a:gd name="T5" fmla="*/ 0 60000 65536"/>
            <a:gd name="T6" fmla="*/ 0 w 3"/>
            <a:gd name="T7" fmla="*/ 0 h 16"/>
            <a:gd name="T8" fmla="*/ 3 w 3"/>
            <a:gd name="T9" fmla="*/ 16 h 16"/>
          </a:gdLst>
          <a:ahLst/>
          <a:cxnLst>
            <a:cxn ang="T4">
              <a:pos x="T0" y="T1"/>
            </a:cxn>
            <a:cxn ang="T5">
              <a:pos x="T2" y="T3"/>
            </a:cxn>
          </a:cxnLst>
          <a:rect l="T6" t="T7" r="T8" b="T9"/>
          <a:pathLst>
            <a:path w="3" h="16">
              <a:moveTo>
                <a:pt x="0" y="0"/>
              </a:moveTo>
              <a:cubicBezTo>
                <a:pt x="2" y="16"/>
                <a:pt x="3" y="6"/>
                <a:pt x="0" y="0"/>
              </a:cubicBezTo>
              <a:close/>
            </a:path>
          </a:pathLst>
        </a:custGeom>
        <a:solidFill>
          <a:srgbClr val="FFCC00"/>
        </a:solidFill>
        <a:ln w="9525">
          <a:solidFill>
            <a:srgbClr val="000000"/>
          </a:solidFill>
          <a:round/>
          <a:headEnd/>
          <a:tailEnd/>
        </a:ln>
      </xdr:spPr>
    </xdr:sp>
    <xdr:clientData/>
  </xdr:twoCellAnchor>
  <xdr:twoCellAnchor>
    <xdr:from>
      <xdr:col>12</xdr:col>
      <xdr:colOff>95250</xdr:colOff>
      <xdr:row>105</xdr:row>
      <xdr:rowOff>352425</xdr:rowOff>
    </xdr:from>
    <xdr:to>
      <xdr:col>13</xdr:col>
      <xdr:colOff>114300</xdr:colOff>
      <xdr:row>107</xdr:row>
      <xdr:rowOff>114300</xdr:rowOff>
    </xdr:to>
    <xdr:sp macro="" textlink="">
      <xdr:nvSpPr>
        <xdr:cNvPr id="362" name="Freeform 1242"/>
        <xdr:cNvSpPr>
          <a:spLocks/>
        </xdr:cNvSpPr>
      </xdr:nvSpPr>
      <xdr:spPr bwMode="auto">
        <a:xfrm>
          <a:off x="5286375" y="21631275"/>
          <a:ext cx="342900" cy="276225"/>
        </a:xfrm>
        <a:custGeom>
          <a:avLst/>
          <a:gdLst>
            <a:gd name="T0" fmla="*/ 0 w 23"/>
            <a:gd name="T1" fmla="*/ 2147483647 h 29"/>
            <a:gd name="T2" fmla="*/ 2147483647 w 23"/>
            <a:gd name="T3" fmla="*/ 2147483647 h 29"/>
            <a:gd name="T4" fmla="*/ 2147483647 w 23"/>
            <a:gd name="T5" fmla="*/ 2147483647 h 29"/>
            <a:gd name="T6" fmla="*/ 2147483647 w 23"/>
            <a:gd name="T7" fmla="*/ 0 h 29"/>
            <a:gd name="T8" fmla="*/ 0 60000 65536"/>
            <a:gd name="T9" fmla="*/ 0 60000 65536"/>
            <a:gd name="T10" fmla="*/ 0 60000 65536"/>
            <a:gd name="T11" fmla="*/ 0 60000 65536"/>
            <a:gd name="T12" fmla="*/ 0 w 23"/>
            <a:gd name="T13" fmla="*/ 0 h 29"/>
            <a:gd name="T14" fmla="*/ 23 w 23"/>
            <a:gd name="T15" fmla="*/ 29 h 29"/>
          </a:gdLst>
          <a:ahLst/>
          <a:cxnLst>
            <a:cxn ang="T8">
              <a:pos x="T0" y="T1"/>
            </a:cxn>
            <a:cxn ang="T9">
              <a:pos x="T2" y="T3"/>
            </a:cxn>
            <a:cxn ang="T10">
              <a:pos x="T4" y="T5"/>
            </a:cxn>
            <a:cxn ang="T11">
              <a:pos x="T6" y="T7"/>
            </a:cxn>
          </a:cxnLst>
          <a:rect l="T12" t="T13" r="T14" b="T15"/>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a:solidFill>
            <a:srgbClr val="000000"/>
          </a:solidFill>
          <a:round/>
          <a:headEnd/>
          <a:tailEnd/>
        </a:ln>
      </xdr:spPr>
    </xdr:sp>
    <xdr:clientData/>
  </xdr:twoCellAnchor>
  <xdr:twoCellAnchor>
    <xdr:from>
      <xdr:col>11</xdr:col>
      <xdr:colOff>209550</xdr:colOff>
      <xdr:row>100</xdr:row>
      <xdr:rowOff>123825</xdr:rowOff>
    </xdr:from>
    <xdr:to>
      <xdr:col>11</xdr:col>
      <xdr:colOff>304800</xdr:colOff>
      <xdr:row>100</xdr:row>
      <xdr:rowOff>200025</xdr:rowOff>
    </xdr:to>
    <xdr:sp macro="" textlink="">
      <xdr:nvSpPr>
        <xdr:cNvPr id="363" name="Freeform 1243"/>
        <xdr:cNvSpPr>
          <a:spLocks/>
        </xdr:cNvSpPr>
      </xdr:nvSpPr>
      <xdr:spPr bwMode="auto">
        <a:xfrm>
          <a:off x="4676775" y="19935825"/>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11</xdr:col>
      <xdr:colOff>361950</xdr:colOff>
      <xdr:row>100</xdr:row>
      <xdr:rowOff>133350</xdr:rowOff>
    </xdr:from>
    <xdr:to>
      <xdr:col>11</xdr:col>
      <xdr:colOff>457200</xdr:colOff>
      <xdr:row>100</xdr:row>
      <xdr:rowOff>209550</xdr:rowOff>
    </xdr:to>
    <xdr:sp macro="" textlink="">
      <xdr:nvSpPr>
        <xdr:cNvPr id="364" name="Freeform 1244"/>
        <xdr:cNvSpPr>
          <a:spLocks/>
        </xdr:cNvSpPr>
      </xdr:nvSpPr>
      <xdr:spPr bwMode="auto">
        <a:xfrm>
          <a:off x="4829175" y="19945350"/>
          <a:ext cx="95250" cy="76200"/>
        </a:xfrm>
        <a:custGeom>
          <a:avLst/>
          <a:gdLst>
            <a:gd name="T0" fmla="*/ 0 w 10"/>
            <a:gd name="T1" fmla="*/ 2147483647 h 8"/>
            <a:gd name="T2" fmla="*/ 2147483647 w 10"/>
            <a:gd name="T3" fmla="*/ 2147483647 h 8"/>
            <a:gd name="T4" fmla="*/ 2147483647 w 10"/>
            <a:gd name="T5" fmla="*/ 2147483647 h 8"/>
            <a:gd name="T6" fmla="*/ 2147483647 w 10"/>
            <a:gd name="T7" fmla="*/ 2147483647 h 8"/>
            <a:gd name="T8" fmla="*/ 0 w 10"/>
            <a:gd name="T9" fmla="*/ 2147483647 h 8"/>
            <a:gd name="T10" fmla="*/ 0 60000 65536"/>
            <a:gd name="T11" fmla="*/ 0 60000 65536"/>
            <a:gd name="T12" fmla="*/ 0 60000 65536"/>
            <a:gd name="T13" fmla="*/ 0 60000 65536"/>
            <a:gd name="T14" fmla="*/ 0 60000 65536"/>
            <a:gd name="T15" fmla="*/ 0 w 10"/>
            <a:gd name="T16" fmla="*/ 0 h 8"/>
            <a:gd name="T17" fmla="*/ 10 w 10"/>
            <a:gd name="T18" fmla="*/ 8 h 8"/>
          </a:gdLst>
          <a:ahLst/>
          <a:cxnLst>
            <a:cxn ang="T10">
              <a:pos x="T0" y="T1"/>
            </a:cxn>
            <a:cxn ang="T11">
              <a:pos x="T2" y="T3"/>
            </a:cxn>
            <a:cxn ang="T12">
              <a:pos x="T4" y="T5"/>
            </a:cxn>
            <a:cxn ang="T13">
              <a:pos x="T6" y="T7"/>
            </a:cxn>
            <a:cxn ang="T14">
              <a:pos x="T8" y="T9"/>
            </a:cxn>
          </a:cxnLst>
          <a:rect l="T15" t="T16" r="T17" b="T18"/>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a:solidFill>
            <a:srgbClr val="000000"/>
          </a:solidFill>
          <a:round/>
          <a:headEnd/>
          <a:tailEnd/>
        </a:ln>
      </xdr:spPr>
    </xdr:sp>
    <xdr:clientData/>
  </xdr:twoCellAnchor>
  <xdr:twoCellAnchor>
    <xdr:from>
      <xdr:col>10</xdr:col>
      <xdr:colOff>209550</xdr:colOff>
      <xdr:row>106</xdr:row>
      <xdr:rowOff>114300</xdr:rowOff>
    </xdr:from>
    <xdr:to>
      <xdr:col>13</xdr:col>
      <xdr:colOff>9525</xdr:colOff>
      <xdr:row>111</xdr:row>
      <xdr:rowOff>209550</xdr:rowOff>
    </xdr:to>
    <xdr:sp macro="" textlink="">
      <xdr:nvSpPr>
        <xdr:cNvPr id="365" name="Freeform 1245"/>
        <xdr:cNvSpPr>
          <a:spLocks/>
        </xdr:cNvSpPr>
      </xdr:nvSpPr>
      <xdr:spPr bwMode="auto">
        <a:xfrm>
          <a:off x="4410075" y="21755100"/>
          <a:ext cx="1114425" cy="1238250"/>
        </a:xfrm>
        <a:custGeom>
          <a:avLst/>
          <a:gdLst>
            <a:gd name="T0" fmla="*/ 2147483647 w 96"/>
            <a:gd name="T1" fmla="*/ 0 h 127"/>
            <a:gd name="T2" fmla="*/ 2147483647 w 96"/>
            <a:gd name="T3" fmla="*/ 2147483647 h 127"/>
            <a:gd name="T4" fmla="*/ 2147483647 w 96"/>
            <a:gd name="T5" fmla="*/ 2147483647 h 127"/>
            <a:gd name="T6" fmla="*/ 2147483647 w 96"/>
            <a:gd name="T7" fmla="*/ 2147483647 h 127"/>
            <a:gd name="T8" fmla="*/ 0 w 96"/>
            <a:gd name="T9" fmla="*/ 2147483647 h 127"/>
            <a:gd name="T10" fmla="*/ 2147483647 w 96"/>
            <a:gd name="T11" fmla="*/ 2147483647 h 127"/>
            <a:gd name="T12" fmla="*/ 2147483647 w 96"/>
            <a:gd name="T13" fmla="*/ 2147483647 h 127"/>
            <a:gd name="T14" fmla="*/ 2147483647 w 96"/>
            <a:gd name="T15" fmla="*/ 2147483647 h 127"/>
            <a:gd name="T16" fmla="*/ 2147483647 w 96"/>
            <a:gd name="T17" fmla="*/ 2147483647 h 127"/>
            <a:gd name="T18" fmla="*/ 2147483647 w 96"/>
            <a:gd name="T19" fmla="*/ 2147483647 h 127"/>
            <a:gd name="T20" fmla="*/ 2147483647 w 96"/>
            <a:gd name="T21" fmla="*/ 2147483647 h 127"/>
            <a:gd name="T22" fmla="*/ 2147483647 w 96"/>
            <a:gd name="T23" fmla="*/ 2147483647 h 127"/>
            <a:gd name="T24" fmla="*/ 2147483647 w 96"/>
            <a:gd name="T25" fmla="*/ 2147483647 h 127"/>
            <a:gd name="T26" fmla="*/ 2147483647 w 96"/>
            <a:gd name="T27" fmla="*/ 2147483647 h 127"/>
            <a:gd name="T28" fmla="*/ 2147483647 w 96"/>
            <a:gd name="T29" fmla="*/ 2147483647 h 127"/>
            <a:gd name="T30" fmla="*/ 2147483647 w 96"/>
            <a:gd name="T31" fmla="*/ 2147483647 h 127"/>
            <a:gd name="T32" fmla="*/ 2147483647 w 96"/>
            <a:gd name="T33" fmla="*/ 2147483647 h 127"/>
            <a:gd name="T34" fmla="*/ 2147483647 w 96"/>
            <a:gd name="T35" fmla="*/ 2147483647 h 127"/>
            <a:gd name="T36" fmla="*/ 2147483647 w 96"/>
            <a:gd name="T37" fmla="*/ 2147483647 h 127"/>
            <a:gd name="T38" fmla="*/ 2147483647 w 96"/>
            <a:gd name="T39" fmla="*/ 2147483647 h 127"/>
            <a:gd name="T40" fmla="*/ 2147483647 w 96"/>
            <a:gd name="T41" fmla="*/ 2147483647 h 127"/>
            <a:gd name="T42" fmla="*/ 2147483647 w 96"/>
            <a:gd name="T43" fmla="*/ 2147483647 h 127"/>
            <a:gd name="T44" fmla="*/ 2147483647 w 96"/>
            <a:gd name="T45" fmla="*/ 2147483647 h 127"/>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96"/>
            <a:gd name="T70" fmla="*/ 0 h 127"/>
            <a:gd name="T71" fmla="*/ 96 w 96"/>
            <a:gd name="T72" fmla="*/ 127 h 127"/>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00CCFF"/>
        </a:solidFill>
        <a:ln w="9525">
          <a:solidFill>
            <a:srgbClr val="000000"/>
          </a:solidFill>
          <a:round/>
          <a:headEnd/>
          <a:tailEnd/>
        </a:ln>
      </xdr:spPr>
    </xdr:sp>
    <xdr:clientData/>
  </xdr:twoCellAnchor>
  <xdr:twoCellAnchor>
    <xdr:from>
      <xdr:col>11</xdr:col>
      <xdr:colOff>47625</xdr:colOff>
      <xdr:row>107</xdr:row>
      <xdr:rowOff>28575</xdr:rowOff>
    </xdr:from>
    <xdr:to>
      <xdr:col>11</xdr:col>
      <xdr:colOff>238125</xdr:colOff>
      <xdr:row>108</xdr:row>
      <xdr:rowOff>0</xdr:rowOff>
    </xdr:to>
    <xdr:sp macro="" textlink="">
      <xdr:nvSpPr>
        <xdr:cNvPr id="366" name="Freeform 1246"/>
        <xdr:cNvSpPr>
          <a:spLocks/>
        </xdr:cNvSpPr>
      </xdr:nvSpPr>
      <xdr:spPr bwMode="auto">
        <a:xfrm>
          <a:off x="4514850" y="21821775"/>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11</xdr:col>
      <xdr:colOff>419100</xdr:colOff>
      <xdr:row>107</xdr:row>
      <xdr:rowOff>19050</xdr:rowOff>
    </xdr:from>
    <xdr:to>
      <xdr:col>11</xdr:col>
      <xdr:colOff>609600</xdr:colOff>
      <xdr:row>107</xdr:row>
      <xdr:rowOff>238125</xdr:rowOff>
    </xdr:to>
    <xdr:sp macro="" textlink="">
      <xdr:nvSpPr>
        <xdr:cNvPr id="367" name="Freeform 1247"/>
        <xdr:cNvSpPr>
          <a:spLocks/>
        </xdr:cNvSpPr>
      </xdr:nvSpPr>
      <xdr:spPr bwMode="auto">
        <a:xfrm>
          <a:off x="4886325" y="21812250"/>
          <a:ext cx="190500" cy="219075"/>
        </a:xfrm>
        <a:custGeom>
          <a:avLst/>
          <a:gdLst>
            <a:gd name="T0" fmla="*/ 2147483647 w 20"/>
            <a:gd name="T1" fmla="*/ 2147483647 h 23"/>
            <a:gd name="T2" fmla="*/ 2147483647 w 20"/>
            <a:gd name="T3" fmla="*/ 2147483647 h 23"/>
            <a:gd name="T4" fmla="*/ 2147483647 w 20"/>
            <a:gd name="T5" fmla="*/ 0 h 23"/>
            <a:gd name="T6" fmla="*/ 2147483647 w 20"/>
            <a:gd name="T7" fmla="*/ 2147483647 h 23"/>
            <a:gd name="T8" fmla="*/ 0 60000 65536"/>
            <a:gd name="T9" fmla="*/ 0 60000 65536"/>
            <a:gd name="T10" fmla="*/ 0 60000 65536"/>
            <a:gd name="T11" fmla="*/ 0 60000 65536"/>
            <a:gd name="T12" fmla="*/ 0 w 20"/>
            <a:gd name="T13" fmla="*/ 0 h 23"/>
            <a:gd name="T14" fmla="*/ 20 w 20"/>
            <a:gd name="T15" fmla="*/ 23 h 23"/>
          </a:gdLst>
          <a:ahLst/>
          <a:cxnLst>
            <a:cxn ang="T8">
              <a:pos x="T0" y="T1"/>
            </a:cxn>
            <a:cxn ang="T9">
              <a:pos x="T2" y="T3"/>
            </a:cxn>
            <a:cxn ang="T10">
              <a:pos x="T4" y="T5"/>
            </a:cxn>
            <a:cxn ang="T11">
              <a:pos x="T6" y="T7"/>
            </a:cxn>
          </a:cxnLst>
          <a:rect l="T12" t="T13" r="T14" b="T15"/>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a:solidFill>
            <a:srgbClr val="000000"/>
          </a:solidFill>
          <a:round/>
          <a:headEnd/>
          <a:tailEnd/>
        </a:ln>
      </xdr:spPr>
    </xdr:sp>
    <xdr:clientData/>
  </xdr:twoCellAnchor>
  <xdr:twoCellAnchor>
    <xdr:from>
      <xdr:col>9</xdr:col>
      <xdr:colOff>352425</xdr:colOff>
      <xdr:row>111</xdr:row>
      <xdr:rowOff>123825</xdr:rowOff>
    </xdr:from>
    <xdr:to>
      <xdr:col>11</xdr:col>
      <xdr:colOff>285750</xdr:colOff>
      <xdr:row>113</xdr:row>
      <xdr:rowOff>238125</xdr:rowOff>
    </xdr:to>
    <xdr:sp macro="" textlink="">
      <xdr:nvSpPr>
        <xdr:cNvPr id="368" name="Freeform 1248"/>
        <xdr:cNvSpPr>
          <a:spLocks/>
        </xdr:cNvSpPr>
      </xdr:nvSpPr>
      <xdr:spPr bwMode="auto">
        <a:xfrm>
          <a:off x="4152900" y="22907625"/>
          <a:ext cx="600075" cy="609600"/>
        </a:xfrm>
        <a:custGeom>
          <a:avLst/>
          <a:gdLst>
            <a:gd name="T0" fmla="*/ 2147483647 w 61"/>
            <a:gd name="T1" fmla="*/ 0 h 64"/>
            <a:gd name="T2" fmla="*/ 2147483647 w 61"/>
            <a:gd name="T3" fmla="*/ 2147483647 h 64"/>
            <a:gd name="T4" fmla="*/ 2147483647 w 61"/>
            <a:gd name="T5" fmla="*/ 2147483647 h 64"/>
            <a:gd name="T6" fmla="*/ 0 w 61"/>
            <a:gd name="T7" fmla="*/ 2147483647 h 64"/>
            <a:gd name="T8" fmla="*/ 2147483647 w 61"/>
            <a:gd name="T9" fmla="*/ 2147483647 h 64"/>
            <a:gd name="T10" fmla="*/ 2147483647 w 61"/>
            <a:gd name="T11" fmla="*/ 2147483647 h 64"/>
            <a:gd name="T12" fmla="*/ 2147483647 w 61"/>
            <a:gd name="T13" fmla="*/ 2147483647 h 64"/>
            <a:gd name="T14" fmla="*/ 2147483647 w 61"/>
            <a:gd name="T15" fmla="*/ 2147483647 h 64"/>
            <a:gd name="T16" fmla="*/ 0 60000 65536"/>
            <a:gd name="T17" fmla="*/ 0 60000 65536"/>
            <a:gd name="T18" fmla="*/ 0 60000 65536"/>
            <a:gd name="T19" fmla="*/ 0 60000 65536"/>
            <a:gd name="T20" fmla="*/ 0 60000 65536"/>
            <a:gd name="T21" fmla="*/ 0 60000 65536"/>
            <a:gd name="T22" fmla="*/ 0 60000 65536"/>
            <a:gd name="T23" fmla="*/ 0 60000 65536"/>
            <a:gd name="T24" fmla="*/ 0 w 61"/>
            <a:gd name="T25" fmla="*/ 0 h 64"/>
            <a:gd name="T26" fmla="*/ 61 w 61"/>
            <a:gd name="T27" fmla="*/ 64 h 6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99CC00"/>
        </a:solidFill>
        <a:ln w="9525">
          <a:solidFill>
            <a:srgbClr val="000000"/>
          </a:solidFill>
          <a:round/>
          <a:headEnd/>
          <a:tailEnd/>
        </a:ln>
      </xdr:spPr>
    </xdr:sp>
    <xdr:clientData/>
  </xdr:twoCellAnchor>
  <xdr:twoCellAnchor>
    <xdr:from>
      <xdr:col>11</xdr:col>
      <xdr:colOff>590550</xdr:colOff>
      <xdr:row>111</xdr:row>
      <xdr:rowOff>171450</xdr:rowOff>
    </xdr:from>
    <xdr:to>
      <xdr:col>13</xdr:col>
      <xdr:colOff>371475</xdr:colOff>
      <xdr:row>113</xdr:row>
      <xdr:rowOff>209550</xdr:rowOff>
    </xdr:to>
    <xdr:sp macro="" textlink="">
      <xdr:nvSpPr>
        <xdr:cNvPr id="369" name="Freeform 1249"/>
        <xdr:cNvSpPr>
          <a:spLocks/>
        </xdr:cNvSpPr>
      </xdr:nvSpPr>
      <xdr:spPr bwMode="auto">
        <a:xfrm>
          <a:off x="5057775" y="22955250"/>
          <a:ext cx="828675" cy="533400"/>
        </a:xfrm>
        <a:custGeom>
          <a:avLst/>
          <a:gdLst>
            <a:gd name="T0" fmla="*/ 0 w 66"/>
            <a:gd name="T1" fmla="*/ 2147483647 h 56"/>
            <a:gd name="T2" fmla="*/ 2147483647 w 66"/>
            <a:gd name="T3" fmla="*/ 2147483647 h 56"/>
            <a:gd name="T4" fmla="*/ 2147483647 w 66"/>
            <a:gd name="T5" fmla="*/ 2147483647 h 56"/>
            <a:gd name="T6" fmla="*/ 2147483647 w 66"/>
            <a:gd name="T7" fmla="*/ 2147483647 h 56"/>
            <a:gd name="T8" fmla="*/ 2147483647 w 66"/>
            <a:gd name="T9" fmla="*/ 2147483647 h 56"/>
            <a:gd name="T10" fmla="*/ 2147483647 w 66"/>
            <a:gd name="T11" fmla="*/ 2147483647 h 56"/>
            <a:gd name="T12" fmla="*/ 2147483647 w 66"/>
            <a:gd name="T13" fmla="*/ 2147483647 h 56"/>
            <a:gd name="T14" fmla="*/ 2147483647 w 66"/>
            <a:gd name="T15" fmla="*/ 2147483647 h 56"/>
            <a:gd name="T16" fmla="*/ 2147483647 w 66"/>
            <a:gd name="T17" fmla="*/ 2147483647 h 56"/>
            <a:gd name="T18" fmla="*/ 2147483647 w 66"/>
            <a:gd name="T19" fmla="*/ 2147483647 h 56"/>
            <a:gd name="T20" fmla="*/ 2147483647 w 66"/>
            <a:gd name="T21" fmla="*/ 2147483647 h 56"/>
            <a:gd name="T22" fmla="*/ 2147483647 w 66"/>
            <a:gd name="T23" fmla="*/ 2147483647 h 56"/>
            <a:gd name="T24" fmla="*/ 2147483647 w 66"/>
            <a:gd name="T25" fmla="*/ 0 h 5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6"/>
            <a:gd name="T40" fmla="*/ 0 h 56"/>
            <a:gd name="T41" fmla="*/ 66 w 66"/>
            <a:gd name="T42" fmla="*/ 56 h 5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99CC00"/>
        </a:solidFill>
        <a:ln w="9525">
          <a:solidFill>
            <a:srgbClr val="000000"/>
          </a:solidFill>
          <a:round/>
          <a:headEnd/>
          <a:tailEnd/>
        </a:ln>
      </xdr:spPr>
    </xdr:sp>
    <xdr:clientData/>
  </xdr:twoCellAnchor>
  <xdr:twoCellAnchor>
    <xdr:from>
      <xdr:col>11</xdr:col>
      <xdr:colOff>114300</xdr:colOff>
      <xdr:row>109</xdr:row>
      <xdr:rowOff>95250</xdr:rowOff>
    </xdr:from>
    <xdr:to>
      <xdr:col>11</xdr:col>
      <xdr:colOff>266700</xdr:colOff>
      <xdr:row>110</xdr:row>
      <xdr:rowOff>104775</xdr:rowOff>
    </xdr:to>
    <xdr:sp macro="" textlink="">
      <xdr:nvSpPr>
        <xdr:cNvPr id="370" name="Oval 1250"/>
        <xdr:cNvSpPr>
          <a:spLocks noChangeArrowheads="1"/>
        </xdr:cNvSpPr>
      </xdr:nvSpPr>
      <xdr:spPr bwMode="auto">
        <a:xfrm>
          <a:off x="4581525" y="22383750"/>
          <a:ext cx="152400" cy="257175"/>
        </a:xfrm>
        <a:prstGeom prst="ellipse">
          <a:avLst/>
        </a:prstGeom>
        <a:solidFill>
          <a:srgbClr val="FFCC00"/>
        </a:solidFill>
        <a:ln w="9525">
          <a:solidFill>
            <a:srgbClr val="000000"/>
          </a:solidFill>
          <a:round/>
          <a:headEnd/>
          <a:tailEnd/>
        </a:ln>
      </xdr:spPr>
    </xdr:sp>
    <xdr:clientData/>
  </xdr:twoCellAnchor>
  <xdr:twoCellAnchor>
    <xdr:from>
      <xdr:col>11</xdr:col>
      <xdr:colOff>561975</xdr:colOff>
      <xdr:row>109</xdr:row>
      <xdr:rowOff>85725</xdr:rowOff>
    </xdr:from>
    <xdr:to>
      <xdr:col>12</xdr:col>
      <xdr:colOff>66675</xdr:colOff>
      <xdr:row>110</xdr:row>
      <xdr:rowOff>95250</xdr:rowOff>
    </xdr:to>
    <xdr:sp macro="" textlink="">
      <xdr:nvSpPr>
        <xdr:cNvPr id="371" name="Oval 1251"/>
        <xdr:cNvSpPr>
          <a:spLocks noChangeArrowheads="1"/>
        </xdr:cNvSpPr>
      </xdr:nvSpPr>
      <xdr:spPr bwMode="auto">
        <a:xfrm>
          <a:off x="5029200" y="22374225"/>
          <a:ext cx="228600" cy="257175"/>
        </a:xfrm>
        <a:prstGeom prst="ellipse">
          <a:avLst/>
        </a:prstGeom>
        <a:solidFill>
          <a:srgbClr val="FFCC00"/>
        </a:solidFill>
        <a:ln w="9525">
          <a:solidFill>
            <a:srgbClr val="000000"/>
          </a:solidFill>
          <a:round/>
          <a:headEnd/>
          <a:tailEnd/>
        </a:ln>
      </xdr:spPr>
    </xdr:sp>
    <xdr:clientData/>
  </xdr:twoCellAnchor>
  <xdr:twoCellAnchor>
    <xdr:from>
      <xdr:col>13</xdr:col>
      <xdr:colOff>200025</xdr:colOff>
      <xdr:row>99</xdr:row>
      <xdr:rowOff>114300</xdr:rowOff>
    </xdr:from>
    <xdr:to>
      <xdr:col>14</xdr:col>
      <xdr:colOff>304800</xdr:colOff>
      <xdr:row>106</xdr:row>
      <xdr:rowOff>142875</xdr:rowOff>
    </xdr:to>
    <xdr:sp macro="" textlink="">
      <xdr:nvSpPr>
        <xdr:cNvPr id="372" name="Freeform 1252"/>
        <xdr:cNvSpPr>
          <a:spLocks/>
        </xdr:cNvSpPr>
      </xdr:nvSpPr>
      <xdr:spPr bwMode="auto">
        <a:xfrm>
          <a:off x="5715000" y="19678650"/>
          <a:ext cx="790575"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13</xdr:col>
      <xdr:colOff>352425</xdr:colOff>
      <xdr:row>100</xdr:row>
      <xdr:rowOff>19050</xdr:rowOff>
    </xdr:from>
    <xdr:to>
      <xdr:col>14</xdr:col>
      <xdr:colOff>457200</xdr:colOff>
      <xdr:row>107</xdr:row>
      <xdr:rowOff>142875</xdr:rowOff>
    </xdr:to>
    <xdr:sp macro="" textlink="">
      <xdr:nvSpPr>
        <xdr:cNvPr id="373" name="Freeform 1253"/>
        <xdr:cNvSpPr>
          <a:spLocks/>
        </xdr:cNvSpPr>
      </xdr:nvSpPr>
      <xdr:spPr bwMode="auto">
        <a:xfrm>
          <a:off x="5867400" y="19831050"/>
          <a:ext cx="666750" cy="2105025"/>
        </a:xfrm>
        <a:custGeom>
          <a:avLst/>
          <a:gdLst>
            <a:gd name="T0" fmla="*/ 0 w 83"/>
            <a:gd name="T1" fmla="*/ 2147483647 h 191"/>
            <a:gd name="T2" fmla="*/ 2147483647 w 83"/>
            <a:gd name="T3" fmla="*/ 2147483647 h 191"/>
            <a:gd name="T4" fmla="*/ 2147483647 w 83"/>
            <a:gd name="T5" fmla="*/ 2147483647 h 191"/>
            <a:gd name="T6" fmla="*/ 2147483647 w 83"/>
            <a:gd name="T7" fmla="*/ 2147483647 h 191"/>
            <a:gd name="T8" fmla="*/ 2147483647 w 83"/>
            <a:gd name="T9" fmla="*/ 2147483647 h 191"/>
            <a:gd name="T10" fmla="*/ 2147483647 w 83"/>
            <a:gd name="T11" fmla="*/ 2147483647 h 191"/>
            <a:gd name="T12" fmla="*/ 2147483647 w 83"/>
            <a:gd name="T13" fmla="*/ 2147483647 h 191"/>
            <a:gd name="T14" fmla="*/ 2147483647 w 83"/>
            <a:gd name="T15" fmla="*/ 2147483647 h 191"/>
            <a:gd name="T16" fmla="*/ 2147483647 w 83"/>
            <a:gd name="T17" fmla="*/ 2147483647 h 191"/>
            <a:gd name="T18" fmla="*/ 2147483647 w 83"/>
            <a:gd name="T19" fmla="*/ 2147483647 h 191"/>
            <a:gd name="T20" fmla="*/ 2147483647 w 83"/>
            <a:gd name="T21" fmla="*/ 2147483647 h 191"/>
            <a:gd name="T22" fmla="*/ 2147483647 w 83"/>
            <a:gd name="T23" fmla="*/ 2147483647 h 191"/>
            <a:gd name="T24" fmla="*/ 2147483647 w 83"/>
            <a:gd name="T25" fmla="*/ 2147483647 h 191"/>
            <a:gd name="T26" fmla="*/ 2147483647 w 83"/>
            <a:gd name="T27" fmla="*/ 2147483647 h 191"/>
            <a:gd name="T28" fmla="*/ 2147483647 w 83"/>
            <a:gd name="T29" fmla="*/ 2147483647 h 191"/>
            <a:gd name="T30" fmla="*/ 2147483647 w 83"/>
            <a:gd name="T31" fmla="*/ 2147483647 h 191"/>
            <a:gd name="T32" fmla="*/ 2147483647 w 83"/>
            <a:gd name="T33" fmla="*/ 2147483647 h 191"/>
            <a:gd name="T34" fmla="*/ 2147483647 w 83"/>
            <a:gd name="T35" fmla="*/ 2147483647 h 191"/>
            <a:gd name="T36" fmla="*/ 2147483647 w 83"/>
            <a:gd name="T37" fmla="*/ 2147483647 h 191"/>
            <a:gd name="T38" fmla="*/ 2147483647 w 83"/>
            <a:gd name="T39" fmla="*/ 2147483647 h 191"/>
            <a:gd name="T40" fmla="*/ 2147483647 w 83"/>
            <a:gd name="T41" fmla="*/ 2147483647 h 191"/>
            <a:gd name="T42" fmla="*/ 2147483647 w 83"/>
            <a:gd name="T43" fmla="*/ 2147483647 h 191"/>
            <a:gd name="T44" fmla="*/ 2147483647 w 83"/>
            <a:gd name="T45" fmla="*/ 2147483647 h 191"/>
            <a:gd name="T46" fmla="*/ 0 w 83"/>
            <a:gd name="T47" fmla="*/ 2147483647 h 191"/>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83"/>
            <a:gd name="T73" fmla="*/ 0 h 191"/>
            <a:gd name="T74" fmla="*/ 83 w 83"/>
            <a:gd name="T75" fmla="*/ 191 h 191"/>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a:solidFill>
            <a:srgbClr val="000000"/>
          </a:solidFill>
          <a:round/>
          <a:headEnd/>
          <a:tailEnd/>
        </a:ln>
      </xdr:spPr>
    </xdr:sp>
    <xdr:clientData/>
  </xdr:twoCellAnchor>
  <xdr:twoCellAnchor>
    <xdr:from>
      <xdr:col>11</xdr:col>
      <xdr:colOff>142875</xdr:colOff>
      <xdr:row>105</xdr:row>
      <xdr:rowOff>171450</xdr:rowOff>
    </xdr:from>
    <xdr:to>
      <xdr:col>14</xdr:col>
      <xdr:colOff>76200</xdr:colOff>
      <xdr:row>111</xdr:row>
      <xdr:rowOff>238125</xdr:rowOff>
    </xdr:to>
    <xdr:sp macro="" textlink="">
      <xdr:nvSpPr>
        <xdr:cNvPr id="374" name="Freeform 1254"/>
        <xdr:cNvSpPr>
          <a:spLocks/>
        </xdr:cNvSpPr>
      </xdr:nvSpPr>
      <xdr:spPr bwMode="auto">
        <a:xfrm>
          <a:off x="4610100" y="21450300"/>
          <a:ext cx="1666875" cy="1571625"/>
        </a:xfrm>
        <a:custGeom>
          <a:avLst/>
          <a:gdLst>
            <a:gd name="T0" fmla="*/ 2147483647 w 123"/>
            <a:gd name="T1" fmla="*/ 2147483647 h 148"/>
            <a:gd name="T2" fmla="*/ 2147483647 w 123"/>
            <a:gd name="T3" fmla="*/ 2147483647 h 148"/>
            <a:gd name="T4" fmla="*/ 2147483647 w 123"/>
            <a:gd name="T5" fmla="*/ 2147483647 h 148"/>
            <a:gd name="T6" fmla="*/ 2147483647 w 123"/>
            <a:gd name="T7" fmla="*/ 2147483647 h 148"/>
            <a:gd name="T8" fmla="*/ 2147483647 w 123"/>
            <a:gd name="T9" fmla="*/ 2147483647 h 148"/>
            <a:gd name="T10" fmla="*/ 2147483647 w 123"/>
            <a:gd name="T11" fmla="*/ 2147483647 h 148"/>
            <a:gd name="T12" fmla="*/ 2147483647 w 123"/>
            <a:gd name="T13" fmla="*/ 2147483647 h 148"/>
            <a:gd name="T14" fmla="*/ 2147483647 w 123"/>
            <a:gd name="T15" fmla="*/ 2147483647 h 148"/>
            <a:gd name="T16" fmla="*/ 2147483647 w 123"/>
            <a:gd name="T17" fmla="*/ 2147483647 h 148"/>
            <a:gd name="T18" fmla="*/ 2147483647 w 123"/>
            <a:gd name="T19" fmla="*/ 2147483647 h 148"/>
            <a:gd name="T20" fmla="*/ 0 w 123"/>
            <a:gd name="T21" fmla="*/ 2147483647 h 148"/>
            <a:gd name="T22" fmla="*/ 2147483647 w 123"/>
            <a:gd name="T23" fmla="*/ 2147483647 h 148"/>
            <a:gd name="T24" fmla="*/ 2147483647 w 123"/>
            <a:gd name="T25" fmla="*/ 2147483647 h 148"/>
            <a:gd name="T26" fmla="*/ 2147483647 w 123"/>
            <a:gd name="T27" fmla="*/ 2147483647 h 148"/>
            <a:gd name="T28" fmla="*/ 2147483647 w 123"/>
            <a:gd name="T29" fmla="*/ 2147483647 h 148"/>
            <a:gd name="T30" fmla="*/ 2147483647 w 123"/>
            <a:gd name="T31" fmla="*/ 2147483647 h 148"/>
            <a:gd name="T32" fmla="*/ 2147483647 w 123"/>
            <a:gd name="T33" fmla="*/ 2147483647 h 148"/>
            <a:gd name="T34" fmla="*/ 2147483647 w 123"/>
            <a:gd name="T35" fmla="*/ 2147483647 h 148"/>
            <a:gd name="T36" fmla="*/ 2147483647 w 123"/>
            <a:gd name="T37" fmla="*/ 2147483647 h 148"/>
            <a:gd name="T38" fmla="*/ 2147483647 w 123"/>
            <a:gd name="T39" fmla="*/ 2147483647 h 148"/>
            <a:gd name="T40" fmla="*/ 2147483647 w 123"/>
            <a:gd name="T41" fmla="*/ 2147483647 h 14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23"/>
            <a:gd name="T64" fmla="*/ 0 h 148"/>
            <a:gd name="T65" fmla="*/ 123 w 123"/>
            <a:gd name="T66" fmla="*/ 148 h 14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a:solidFill>
            <a:srgbClr val="000000"/>
          </a:solidFill>
          <a:round/>
          <a:headEnd/>
          <a:tailEnd/>
        </a:ln>
      </xdr:spPr>
    </xdr:sp>
    <xdr:clientData/>
  </xdr:twoCellAnchor>
  <xdr:twoCellAnchor>
    <xdr:from>
      <xdr:col>11</xdr:col>
      <xdr:colOff>161925</xdr:colOff>
      <xdr:row>98</xdr:row>
      <xdr:rowOff>133350</xdr:rowOff>
    </xdr:from>
    <xdr:to>
      <xdr:col>11</xdr:col>
      <xdr:colOff>561975</xdr:colOff>
      <xdr:row>99</xdr:row>
      <xdr:rowOff>209550</xdr:rowOff>
    </xdr:to>
    <xdr:sp macro="" textlink="">
      <xdr:nvSpPr>
        <xdr:cNvPr id="375" name="Freeform 1255"/>
        <xdr:cNvSpPr>
          <a:spLocks/>
        </xdr:cNvSpPr>
      </xdr:nvSpPr>
      <xdr:spPr bwMode="auto">
        <a:xfrm>
          <a:off x="4629150" y="19450050"/>
          <a:ext cx="400050" cy="323850"/>
        </a:xfrm>
        <a:custGeom>
          <a:avLst/>
          <a:gdLst>
            <a:gd name="T0" fmla="*/ 2147483647 w 42"/>
            <a:gd name="T1" fmla="*/ 2147483647 h 34"/>
            <a:gd name="T2" fmla="*/ 2147483647 w 42"/>
            <a:gd name="T3" fmla="*/ 0 h 34"/>
            <a:gd name="T4" fmla="*/ 2147483647 w 42"/>
            <a:gd name="T5" fmla="*/ 2147483647 h 34"/>
            <a:gd name="T6" fmla="*/ 2147483647 w 42"/>
            <a:gd name="T7" fmla="*/ 2147483647 h 34"/>
            <a:gd name="T8" fmla="*/ 0 60000 65536"/>
            <a:gd name="T9" fmla="*/ 0 60000 65536"/>
            <a:gd name="T10" fmla="*/ 0 60000 65536"/>
            <a:gd name="T11" fmla="*/ 0 60000 65536"/>
            <a:gd name="T12" fmla="*/ 0 w 42"/>
            <a:gd name="T13" fmla="*/ 0 h 34"/>
            <a:gd name="T14" fmla="*/ 42 w 42"/>
            <a:gd name="T15" fmla="*/ 34 h 34"/>
          </a:gdLst>
          <a:ahLst/>
          <a:cxnLst>
            <a:cxn ang="T8">
              <a:pos x="T0" y="T1"/>
            </a:cxn>
            <a:cxn ang="T9">
              <a:pos x="T2" y="T3"/>
            </a:cxn>
            <a:cxn ang="T10">
              <a:pos x="T4" y="T5"/>
            </a:cxn>
            <a:cxn ang="T11">
              <a:pos x="T6" y="T7"/>
            </a:cxn>
          </a:cxnLst>
          <a:rect l="T12" t="T13" r="T14" b="T15"/>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a:solidFill>
            <a:srgbClr val="000000"/>
          </a:solidFill>
          <a:round/>
          <a:headEnd/>
          <a:tailEnd/>
        </a:ln>
      </xdr:spPr>
    </xdr:sp>
    <xdr:clientData/>
  </xdr:twoCellAnchor>
  <xdr:twoCellAnchor>
    <xdr:from>
      <xdr:col>10</xdr:col>
      <xdr:colOff>200025</xdr:colOff>
      <xdr:row>99</xdr:row>
      <xdr:rowOff>95250</xdr:rowOff>
    </xdr:from>
    <xdr:to>
      <xdr:col>12</xdr:col>
      <xdr:colOff>85725</xdr:colOff>
      <xdr:row>100</xdr:row>
      <xdr:rowOff>85725</xdr:rowOff>
    </xdr:to>
    <xdr:sp macro="" textlink="">
      <xdr:nvSpPr>
        <xdr:cNvPr id="376" name="AutoShape 1256"/>
        <xdr:cNvSpPr>
          <a:spLocks noChangeArrowheads="1"/>
        </xdr:cNvSpPr>
      </xdr:nvSpPr>
      <xdr:spPr bwMode="auto">
        <a:xfrm>
          <a:off x="4400550" y="19659600"/>
          <a:ext cx="876300" cy="23812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0 w 21600"/>
            <a:gd name="T13" fmla="*/ 0 h 21600"/>
            <a:gd name="T14" fmla="*/ 21600 w 21600"/>
            <a:gd name="T15" fmla="*/ 7713 h 21600"/>
          </a:gdLst>
          <a:ahLst/>
          <a:cxnLst>
            <a:cxn ang="T8">
              <a:pos x="T0" y="T1"/>
            </a:cxn>
            <a:cxn ang="T9">
              <a:pos x="T2" y="T3"/>
            </a:cxn>
            <a:cxn ang="T10">
              <a:pos x="T4" y="T5"/>
            </a:cxn>
            <a:cxn ang="T11">
              <a:pos x="T6" y="T7"/>
            </a:cxn>
          </a:cxnLst>
          <a:rect l="T12" t="T13" r="T14" b="T15"/>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xdr:spPr>
    </xdr:sp>
    <xdr:clientData/>
  </xdr:twoCellAnchor>
  <xdr:twoCellAnchor>
    <xdr:from>
      <xdr:col>10</xdr:col>
      <xdr:colOff>85725</xdr:colOff>
      <xdr:row>111</xdr:row>
      <xdr:rowOff>180975</xdr:rowOff>
    </xdr:from>
    <xdr:to>
      <xdr:col>11</xdr:col>
      <xdr:colOff>104775</xdr:colOff>
      <xdr:row>113</xdr:row>
      <xdr:rowOff>95250</xdr:rowOff>
    </xdr:to>
    <xdr:sp macro="" textlink="">
      <xdr:nvSpPr>
        <xdr:cNvPr id="377" name="Freeform 1257"/>
        <xdr:cNvSpPr>
          <a:spLocks/>
        </xdr:cNvSpPr>
      </xdr:nvSpPr>
      <xdr:spPr bwMode="auto">
        <a:xfrm>
          <a:off x="4286250" y="22964775"/>
          <a:ext cx="285750" cy="409575"/>
        </a:xfrm>
        <a:custGeom>
          <a:avLst/>
          <a:gdLst>
            <a:gd name="T0" fmla="*/ 2147483647 w 30"/>
            <a:gd name="T1" fmla="*/ 2147483647 h 43"/>
            <a:gd name="T2" fmla="*/ 2147483647 w 30"/>
            <a:gd name="T3" fmla="*/ 2147483647 h 43"/>
            <a:gd name="T4" fmla="*/ 2147483647 w 30"/>
            <a:gd name="T5" fmla="*/ 2147483647 h 43"/>
            <a:gd name="T6" fmla="*/ 2147483647 w 30"/>
            <a:gd name="T7" fmla="*/ 2147483647 h 43"/>
            <a:gd name="T8" fmla="*/ 2147483647 w 30"/>
            <a:gd name="T9" fmla="*/ 2147483647 h 43"/>
            <a:gd name="T10" fmla="*/ 2147483647 w 30"/>
            <a:gd name="T11" fmla="*/ 2147483647 h 43"/>
            <a:gd name="T12" fmla="*/ 2147483647 w 30"/>
            <a:gd name="T13" fmla="*/ 0 h 43"/>
            <a:gd name="T14" fmla="*/ 2147483647 w 30"/>
            <a:gd name="T15" fmla="*/ 2147483647 h 43"/>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43"/>
            <a:gd name="T26" fmla="*/ 30 w 30"/>
            <a:gd name="T27" fmla="*/ 43 h 4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a:solidFill>
            <a:srgbClr val="000000"/>
          </a:solidFill>
          <a:round/>
          <a:headEnd/>
          <a:tailEnd/>
        </a:ln>
      </xdr:spPr>
    </xdr:sp>
    <xdr:clientData/>
  </xdr:twoCellAnchor>
  <xdr:twoCellAnchor>
    <xdr:from>
      <xdr:col>12</xdr:col>
      <xdr:colOff>57150</xdr:colOff>
      <xdr:row>111</xdr:row>
      <xdr:rowOff>190500</xdr:rowOff>
    </xdr:from>
    <xdr:to>
      <xdr:col>13</xdr:col>
      <xdr:colOff>257175</xdr:colOff>
      <xdr:row>113</xdr:row>
      <xdr:rowOff>57150</xdr:rowOff>
    </xdr:to>
    <xdr:sp macro="" textlink="">
      <xdr:nvSpPr>
        <xdr:cNvPr id="378" name="Freeform 1258"/>
        <xdr:cNvSpPr>
          <a:spLocks/>
        </xdr:cNvSpPr>
      </xdr:nvSpPr>
      <xdr:spPr bwMode="auto">
        <a:xfrm>
          <a:off x="5248275" y="22974300"/>
          <a:ext cx="523875" cy="361950"/>
        </a:xfrm>
        <a:custGeom>
          <a:avLst/>
          <a:gdLst>
            <a:gd name="T0" fmla="*/ 2147483647 w 42"/>
            <a:gd name="T1" fmla="*/ 2147483647 h 38"/>
            <a:gd name="T2" fmla="*/ 2147483647 w 42"/>
            <a:gd name="T3" fmla="*/ 2147483647 h 38"/>
            <a:gd name="T4" fmla="*/ 2147483647 w 42"/>
            <a:gd name="T5" fmla="*/ 2147483647 h 38"/>
            <a:gd name="T6" fmla="*/ 2147483647 w 42"/>
            <a:gd name="T7" fmla="*/ 2147483647 h 38"/>
            <a:gd name="T8" fmla="*/ 2147483647 w 42"/>
            <a:gd name="T9" fmla="*/ 2147483647 h 38"/>
            <a:gd name="T10" fmla="*/ 2147483647 w 42"/>
            <a:gd name="T11" fmla="*/ 2147483647 h 38"/>
            <a:gd name="T12" fmla="*/ 2147483647 w 42"/>
            <a:gd name="T13" fmla="*/ 2147483647 h 38"/>
            <a:gd name="T14" fmla="*/ 2147483647 w 42"/>
            <a:gd name="T15" fmla="*/ 2147483647 h 38"/>
            <a:gd name="T16" fmla="*/ 2147483647 w 42"/>
            <a:gd name="T17" fmla="*/ 2147483647 h 3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42"/>
            <a:gd name="T28" fmla="*/ 0 h 38"/>
            <a:gd name="T29" fmla="*/ 42 w 42"/>
            <a:gd name="T30" fmla="*/ 38 h 38"/>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a:solidFill>
            <a:srgbClr val="000000"/>
          </a:solidFill>
          <a:round/>
          <a:headEnd/>
          <a:tailEnd/>
        </a:ln>
      </xdr:spPr>
    </xdr:sp>
    <xdr:clientData/>
  </xdr:twoCellAnchor>
  <xdr:twoCellAnchor>
    <xdr:from>
      <xdr:col>8</xdr:col>
      <xdr:colOff>0</xdr:colOff>
      <xdr:row>103</xdr:row>
      <xdr:rowOff>28575</xdr:rowOff>
    </xdr:from>
    <xdr:to>
      <xdr:col>9</xdr:col>
      <xdr:colOff>76200</xdr:colOff>
      <xdr:row>106</xdr:row>
      <xdr:rowOff>19050</xdr:rowOff>
    </xdr:to>
    <xdr:sp macro="" textlink="">
      <xdr:nvSpPr>
        <xdr:cNvPr id="379" name="Freeform 1259"/>
        <xdr:cNvSpPr>
          <a:spLocks/>
        </xdr:cNvSpPr>
      </xdr:nvSpPr>
      <xdr:spPr bwMode="auto">
        <a:xfrm>
          <a:off x="3533775" y="20412075"/>
          <a:ext cx="342900" cy="1247775"/>
        </a:xfrm>
        <a:custGeom>
          <a:avLst/>
          <a:gdLst>
            <a:gd name="T0" fmla="*/ 2147483647 w 36"/>
            <a:gd name="T1" fmla="*/ 0 h 101"/>
            <a:gd name="T2" fmla="*/ 2147483647 w 36"/>
            <a:gd name="T3" fmla="*/ 2147483647 h 101"/>
            <a:gd name="T4" fmla="*/ 2147483647 w 36"/>
            <a:gd name="T5" fmla="*/ 2147483647 h 101"/>
            <a:gd name="T6" fmla="*/ 2147483647 w 36"/>
            <a:gd name="T7" fmla="*/ 2147483647 h 101"/>
            <a:gd name="T8" fmla="*/ 2147483647 w 36"/>
            <a:gd name="T9" fmla="*/ 2147483647 h 101"/>
            <a:gd name="T10" fmla="*/ 2147483647 w 36"/>
            <a:gd name="T11" fmla="*/ 2147483647 h 101"/>
            <a:gd name="T12" fmla="*/ 2147483647 w 36"/>
            <a:gd name="T13" fmla="*/ 2147483647 h 101"/>
            <a:gd name="T14" fmla="*/ 0 w 36"/>
            <a:gd name="T15" fmla="*/ 2147483647 h 101"/>
            <a:gd name="T16" fmla="*/ 0 60000 65536"/>
            <a:gd name="T17" fmla="*/ 0 60000 65536"/>
            <a:gd name="T18" fmla="*/ 0 60000 65536"/>
            <a:gd name="T19" fmla="*/ 0 60000 65536"/>
            <a:gd name="T20" fmla="*/ 0 60000 65536"/>
            <a:gd name="T21" fmla="*/ 0 60000 65536"/>
            <a:gd name="T22" fmla="*/ 0 60000 65536"/>
            <a:gd name="T23" fmla="*/ 0 60000 65536"/>
            <a:gd name="T24" fmla="*/ 0 w 36"/>
            <a:gd name="T25" fmla="*/ 0 h 101"/>
            <a:gd name="T26" fmla="*/ 36 w 36"/>
            <a:gd name="T27" fmla="*/ 101 h 101"/>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6" h="101">
              <a:moveTo>
                <a:pt x="28" y="0"/>
              </a:moveTo>
              <a:cubicBezTo>
                <a:pt x="29" y="7"/>
                <a:pt x="29" y="11"/>
                <a:pt x="31" y="17"/>
              </a:cubicBezTo>
              <a:cubicBezTo>
                <a:pt x="32" y="25"/>
                <a:pt x="36" y="30"/>
                <a:pt x="28" y="28"/>
              </a:cubicBezTo>
              <a:cubicBezTo>
                <a:pt x="26" y="21"/>
                <a:pt x="26" y="42"/>
                <a:pt x="23" y="47"/>
              </a:cubicBezTo>
              <a:cubicBezTo>
                <a:pt x="21" y="55"/>
                <a:pt x="23" y="62"/>
                <a:pt x="25" y="70"/>
              </a:cubicBezTo>
              <a:cubicBezTo>
                <a:pt x="26" y="80"/>
                <a:pt x="28" y="86"/>
                <a:pt x="30" y="95"/>
              </a:cubicBezTo>
              <a:cubicBezTo>
                <a:pt x="22" y="101"/>
                <a:pt x="15" y="99"/>
                <a:pt x="5" y="98"/>
              </a:cubicBezTo>
              <a:cubicBezTo>
                <a:pt x="3" y="72"/>
                <a:pt x="0" y="50"/>
                <a:pt x="0" y="23"/>
              </a:cubicBezTo>
            </a:path>
          </a:pathLst>
        </a:custGeom>
        <a:solidFill>
          <a:srgbClr val="00FF00"/>
        </a:solidFill>
        <a:ln w="9525">
          <a:solidFill>
            <a:srgbClr val="000000"/>
          </a:solidFill>
          <a:round/>
          <a:headEnd/>
          <a:tailEnd/>
        </a:ln>
      </xdr:spPr>
    </xdr:sp>
    <xdr:clientData/>
  </xdr:twoCellAnchor>
  <xdr:twoCellAnchor>
    <xdr:from>
      <xdr:col>2</xdr:col>
      <xdr:colOff>342900</xdr:colOff>
      <xdr:row>113</xdr:row>
      <xdr:rowOff>200025</xdr:rowOff>
    </xdr:from>
    <xdr:to>
      <xdr:col>12</xdr:col>
      <xdr:colOff>180975</xdr:colOff>
      <xdr:row>115</xdr:row>
      <xdr:rowOff>28575</xdr:rowOff>
    </xdr:to>
    <xdr:sp macro="" textlink="">
      <xdr:nvSpPr>
        <xdr:cNvPr id="380" name="Freeform 1260"/>
        <xdr:cNvSpPr>
          <a:spLocks/>
        </xdr:cNvSpPr>
      </xdr:nvSpPr>
      <xdr:spPr bwMode="auto">
        <a:xfrm>
          <a:off x="904875" y="23479125"/>
          <a:ext cx="4467225" cy="323850"/>
        </a:xfrm>
        <a:custGeom>
          <a:avLst/>
          <a:gdLst>
            <a:gd name="T0" fmla="*/ 0 w 454"/>
            <a:gd name="T1" fmla="*/ 2147483647 h 34"/>
            <a:gd name="T2" fmla="*/ 2147483647 w 454"/>
            <a:gd name="T3" fmla="*/ 2147483647 h 34"/>
            <a:gd name="T4" fmla="*/ 2147483647 w 454"/>
            <a:gd name="T5" fmla="*/ 2147483647 h 34"/>
            <a:gd name="T6" fmla="*/ 2147483647 w 454"/>
            <a:gd name="T7" fmla="*/ 2147483647 h 34"/>
            <a:gd name="T8" fmla="*/ 2147483647 w 454"/>
            <a:gd name="T9" fmla="*/ 2147483647 h 34"/>
            <a:gd name="T10" fmla="*/ 2147483647 w 454"/>
            <a:gd name="T11" fmla="*/ 0 h 34"/>
            <a:gd name="T12" fmla="*/ 2147483647 w 454"/>
            <a:gd name="T13" fmla="*/ 2147483647 h 34"/>
            <a:gd name="T14" fmla="*/ 2147483647 w 454"/>
            <a:gd name="T15" fmla="*/ 2147483647 h 34"/>
            <a:gd name="T16" fmla="*/ 2147483647 w 454"/>
            <a:gd name="T17" fmla="*/ 2147483647 h 34"/>
            <a:gd name="T18" fmla="*/ 2147483647 w 454"/>
            <a:gd name="T19" fmla="*/ 2147483647 h 34"/>
            <a:gd name="T20" fmla="*/ 2147483647 w 454"/>
            <a:gd name="T21" fmla="*/ 2147483647 h 34"/>
            <a:gd name="T22" fmla="*/ 2147483647 w 454"/>
            <a:gd name="T23" fmla="*/ 2147483647 h 34"/>
            <a:gd name="T24" fmla="*/ 2147483647 w 454"/>
            <a:gd name="T25" fmla="*/ 2147483647 h 34"/>
            <a:gd name="T26" fmla="*/ 2147483647 w 454"/>
            <a:gd name="T27" fmla="*/ 2147483647 h 34"/>
            <a:gd name="T28" fmla="*/ 2147483647 w 454"/>
            <a:gd name="T29" fmla="*/ 2147483647 h 34"/>
            <a:gd name="T30" fmla="*/ 2147483647 w 454"/>
            <a:gd name="T31" fmla="*/ 2147483647 h 34"/>
            <a:gd name="T32" fmla="*/ 2147483647 w 454"/>
            <a:gd name="T33" fmla="*/ 2147483647 h 34"/>
            <a:gd name="T34" fmla="*/ 2147483647 w 454"/>
            <a:gd name="T35" fmla="*/ 2147483647 h 34"/>
            <a:gd name="T36" fmla="*/ 2147483647 w 454"/>
            <a:gd name="T37" fmla="*/ 2147483647 h 34"/>
            <a:gd name="T38" fmla="*/ 2147483647 w 454"/>
            <a:gd name="T39" fmla="*/ 2147483647 h 34"/>
            <a:gd name="T40" fmla="*/ 2147483647 w 454"/>
            <a:gd name="T41" fmla="*/ 2147483647 h 34"/>
            <a:gd name="T42" fmla="*/ 2147483647 w 454"/>
            <a:gd name="T43" fmla="*/ 2147483647 h 34"/>
            <a:gd name="T44" fmla="*/ 2147483647 w 454"/>
            <a:gd name="T45" fmla="*/ 2147483647 h 34"/>
            <a:gd name="T46" fmla="*/ 2147483647 w 454"/>
            <a:gd name="T47" fmla="*/ 2147483647 h 34"/>
            <a:gd name="T48" fmla="*/ 2147483647 w 454"/>
            <a:gd name="T49" fmla="*/ 2147483647 h 34"/>
            <a:gd name="T50" fmla="*/ 2147483647 w 454"/>
            <a:gd name="T51" fmla="*/ 2147483647 h 34"/>
            <a:gd name="T52" fmla="*/ 0 w 454"/>
            <a:gd name="T53" fmla="*/ 2147483647 h 34"/>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w 454"/>
            <a:gd name="T82" fmla="*/ 0 h 34"/>
            <a:gd name="T83" fmla="*/ 454 w 454"/>
            <a:gd name="T84" fmla="*/ 34 h 34"/>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T81" t="T82" r="T83" b="T84"/>
          <a:pathLst>
            <a:path w="454" h="34">
              <a:moveTo>
                <a:pt x="0" y="25"/>
              </a:moveTo>
              <a:cubicBezTo>
                <a:pt x="4" y="17"/>
                <a:pt x="8" y="11"/>
                <a:pt x="17" y="9"/>
              </a:cubicBezTo>
              <a:cubicBezTo>
                <a:pt x="68" y="10"/>
                <a:pt x="49" y="6"/>
                <a:pt x="73" y="12"/>
              </a:cubicBezTo>
              <a:cubicBezTo>
                <a:pt x="81" y="14"/>
                <a:pt x="97" y="21"/>
                <a:pt x="97" y="21"/>
              </a:cubicBezTo>
              <a:cubicBezTo>
                <a:pt x="109" y="21"/>
                <a:pt x="121" y="22"/>
                <a:pt x="133" y="20"/>
              </a:cubicBezTo>
              <a:cubicBezTo>
                <a:pt x="138" y="19"/>
                <a:pt x="149" y="2"/>
                <a:pt x="159" y="0"/>
              </a:cubicBezTo>
              <a:cubicBezTo>
                <a:pt x="182" y="2"/>
                <a:pt x="181" y="9"/>
                <a:pt x="199" y="17"/>
              </a:cubicBezTo>
              <a:cubicBezTo>
                <a:pt x="217" y="25"/>
                <a:pt x="238" y="27"/>
                <a:pt x="257" y="28"/>
              </a:cubicBezTo>
              <a:cubicBezTo>
                <a:pt x="271" y="32"/>
                <a:pt x="320" y="27"/>
                <a:pt x="325" y="27"/>
              </a:cubicBezTo>
              <a:cubicBezTo>
                <a:pt x="329" y="26"/>
                <a:pt x="337" y="24"/>
                <a:pt x="337" y="24"/>
              </a:cubicBezTo>
              <a:cubicBezTo>
                <a:pt x="348" y="13"/>
                <a:pt x="358" y="7"/>
                <a:pt x="373" y="5"/>
              </a:cubicBezTo>
              <a:cubicBezTo>
                <a:pt x="412" y="6"/>
                <a:pt x="424" y="6"/>
                <a:pt x="454" y="16"/>
              </a:cubicBezTo>
              <a:cubicBezTo>
                <a:pt x="447" y="18"/>
                <a:pt x="445" y="19"/>
                <a:pt x="436" y="15"/>
              </a:cubicBezTo>
              <a:cubicBezTo>
                <a:pt x="433" y="14"/>
                <a:pt x="430" y="9"/>
                <a:pt x="430" y="9"/>
              </a:cubicBezTo>
              <a:cubicBezTo>
                <a:pt x="405" y="9"/>
                <a:pt x="380" y="9"/>
                <a:pt x="355" y="10"/>
              </a:cubicBezTo>
              <a:cubicBezTo>
                <a:pt x="354" y="10"/>
                <a:pt x="347" y="23"/>
                <a:pt x="343" y="24"/>
              </a:cubicBezTo>
              <a:cubicBezTo>
                <a:pt x="330" y="27"/>
                <a:pt x="318" y="31"/>
                <a:pt x="306" y="34"/>
              </a:cubicBezTo>
              <a:cubicBezTo>
                <a:pt x="275" y="33"/>
                <a:pt x="250" y="30"/>
                <a:pt x="218" y="29"/>
              </a:cubicBezTo>
              <a:cubicBezTo>
                <a:pt x="204" y="26"/>
                <a:pt x="191" y="13"/>
                <a:pt x="176" y="9"/>
              </a:cubicBezTo>
              <a:cubicBezTo>
                <a:pt x="167" y="3"/>
                <a:pt x="166" y="5"/>
                <a:pt x="152" y="6"/>
              </a:cubicBezTo>
              <a:cubicBezTo>
                <a:pt x="146" y="15"/>
                <a:pt x="132" y="22"/>
                <a:pt x="122" y="25"/>
              </a:cubicBezTo>
              <a:cubicBezTo>
                <a:pt x="109" y="24"/>
                <a:pt x="99" y="22"/>
                <a:pt x="85" y="21"/>
              </a:cubicBezTo>
              <a:cubicBezTo>
                <a:pt x="80" y="18"/>
                <a:pt x="75" y="17"/>
                <a:pt x="69" y="16"/>
              </a:cubicBezTo>
              <a:cubicBezTo>
                <a:pt x="67" y="15"/>
                <a:pt x="63" y="14"/>
                <a:pt x="63" y="14"/>
              </a:cubicBezTo>
              <a:cubicBezTo>
                <a:pt x="60" y="11"/>
                <a:pt x="54" y="7"/>
                <a:pt x="54" y="7"/>
              </a:cubicBezTo>
              <a:cubicBezTo>
                <a:pt x="38" y="8"/>
                <a:pt x="26" y="16"/>
                <a:pt x="10" y="19"/>
              </a:cubicBezTo>
              <a:cubicBezTo>
                <a:pt x="7" y="21"/>
                <a:pt x="0" y="25"/>
                <a:pt x="0" y="25"/>
              </a:cubicBezTo>
              <a:close/>
            </a:path>
          </a:pathLst>
        </a:custGeom>
        <a:solidFill>
          <a:srgbClr val="00CCFF"/>
        </a:solidFill>
        <a:ln w="9525">
          <a:solidFill>
            <a:srgbClr val="000000"/>
          </a:solidFill>
          <a:round/>
          <a:headEnd/>
          <a:tailEnd/>
        </a:ln>
      </xdr:spPr>
    </xdr:sp>
    <xdr:clientData/>
  </xdr:twoCellAnchor>
  <xdr:twoCellAnchor>
    <xdr:from>
      <xdr:col>0</xdr:col>
      <xdr:colOff>0</xdr:colOff>
      <xdr:row>98</xdr:row>
      <xdr:rowOff>0</xdr:rowOff>
    </xdr:from>
    <xdr:to>
      <xdr:col>1</xdr:col>
      <xdr:colOff>133350</xdr:colOff>
      <xdr:row>99</xdr:row>
      <xdr:rowOff>238125</xdr:rowOff>
    </xdr:to>
    <xdr:sp macro="" textlink="">
      <xdr:nvSpPr>
        <xdr:cNvPr id="381" name="Oval 380"/>
        <xdr:cNvSpPr/>
      </xdr:nvSpPr>
      <xdr:spPr bwMode="auto">
        <a:xfrm>
          <a:off x="0" y="19316700"/>
          <a:ext cx="428625" cy="485775"/>
        </a:xfrm>
        <a:prstGeom prst="ellipse">
          <a:avLst/>
        </a:prstGeom>
        <a:solidFill>
          <a:srgbClr val="00C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GB" sz="2800"/>
            <a:t>3</a:t>
          </a:r>
        </a:p>
      </xdr:txBody>
    </xdr:sp>
    <xdr:clientData/>
  </xdr:twoCellAnchor>
  <xdr:oneCellAnchor>
    <xdr:from>
      <xdr:col>0</xdr:col>
      <xdr:colOff>126294</xdr:colOff>
      <xdr:row>71</xdr:row>
      <xdr:rowOff>157702</xdr:rowOff>
    </xdr:from>
    <xdr:ext cx="1949573" cy="655885"/>
    <xdr:sp macro="" textlink="">
      <xdr:nvSpPr>
        <xdr:cNvPr id="382" name="Rectangle 381"/>
        <xdr:cNvSpPr/>
      </xdr:nvSpPr>
      <xdr:spPr>
        <a:xfrm>
          <a:off x="126294" y="17455102"/>
          <a:ext cx="1949573"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Κλάσμα</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4</xdr:col>
      <xdr:colOff>377352</xdr:colOff>
      <xdr:row>73</xdr:row>
      <xdr:rowOff>81502</xdr:rowOff>
    </xdr:from>
    <xdr:ext cx="2761911" cy="718466"/>
    <xdr:sp macro="" textlink="">
      <xdr:nvSpPr>
        <xdr:cNvPr id="383" name="Rectangle 382"/>
        <xdr:cNvSpPr/>
      </xdr:nvSpPr>
      <xdr:spPr>
        <a:xfrm>
          <a:off x="1853727" y="17874202"/>
          <a:ext cx="2761911" cy="718466"/>
        </a:xfrm>
        <a:prstGeom prst="rect">
          <a:avLst/>
        </a:prstGeom>
        <a:noFill/>
      </xdr:spPr>
      <xdr:txBody>
        <a:bodyPr wrap="none" lIns="91440" tIns="45720" rIns="91440" bIns="45720">
          <a:spAutoFit/>
        </a:bodyPr>
        <a:lstStyle/>
        <a:p>
          <a:pPr algn="ctr"/>
          <a:r>
            <a:rPr lang="el-GR"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Δεκαδικός</a:t>
          </a:r>
          <a:endParaRPr lang="en-US"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10</xdr:col>
      <xdr:colOff>7555</xdr:colOff>
      <xdr:row>71</xdr:row>
      <xdr:rowOff>233902</xdr:rowOff>
    </xdr:from>
    <xdr:ext cx="2173800" cy="655885"/>
    <xdr:sp macro="" textlink="">
      <xdr:nvSpPr>
        <xdr:cNvPr id="384" name="Rectangle 383"/>
        <xdr:cNvSpPr/>
      </xdr:nvSpPr>
      <xdr:spPr>
        <a:xfrm>
          <a:off x="4208080" y="17531302"/>
          <a:ext cx="2173800"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Ποσοστό</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91</xdr:row>
      <xdr:rowOff>38100</xdr:rowOff>
    </xdr:from>
    <xdr:ext cx="1949573" cy="655885"/>
    <xdr:sp macro="" textlink="">
      <xdr:nvSpPr>
        <xdr:cNvPr id="385" name="Rectangle 384"/>
        <xdr:cNvSpPr/>
      </xdr:nvSpPr>
      <xdr:spPr>
        <a:xfrm>
          <a:off x="0" y="22574250"/>
          <a:ext cx="1949573"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Κλάσμα</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4</xdr:col>
      <xdr:colOff>251058</xdr:colOff>
      <xdr:row>92</xdr:row>
      <xdr:rowOff>209550</xdr:rowOff>
    </xdr:from>
    <xdr:ext cx="2761911" cy="718466"/>
    <xdr:sp macro="" textlink="">
      <xdr:nvSpPr>
        <xdr:cNvPr id="386" name="Rectangle 385"/>
        <xdr:cNvSpPr/>
      </xdr:nvSpPr>
      <xdr:spPr>
        <a:xfrm>
          <a:off x="1727433" y="22993350"/>
          <a:ext cx="2761911" cy="718466"/>
        </a:xfrm>
        <a:prstGeom prst="rect">
          <a:avLst/>
        </a:prstGeom>
        <a:noFill/>
      </xdr:spPr>
      <xdr:txBody>
        <a:bodyPr wrap="none" lIns="91440" tIns="45720" rIns="91440" bIns="45720">
          <a:spAutoFit/>
        </a:bodyPr>
        <a:lstStyle/>
        <a:p>
          <a:pPr algn="ctr"/>
          <a:r>
            <a:rPr lang="el-GR"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Δεκαδικός</a:t>
          </a:r>
          <a:endParaRPr lang="en-US"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9</xdr:col>
      <xdr:colOff>281311</xdr:colOff>
      <xdr:row>91</xdr:row>
      <xdr:rowOff>114300</xdr:rowOff>
    </xdr:from>
    <xdr:ext cx="2173800" cy="655885"/>
    <xdr:sp macro="" textlink="">
      <xdr:nvSpPr>
        <xdr:cNvPr id="387" name="Rectangle 386"/>
        <xdr:cNvSpPr/>
      </xdr:nvSpPr>
      <xdr:spPr>
        <a:xfrm>
          <a:off x="4081786" y="22650450"/>
          <a:ext cx="2173800"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Ποσοστό</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0</xdr:col>
      <xdr:colOff>0</xdr:colOff>
      <xdr:row>110</xdr:row>
      <xdr:rowOff>133350</xdr:rowOff>
    </xdr:from>
    <xdr:ext cx="1949573" cy="655885"/>
    <xdr:sp macro="" textlink="">
      <xdr:nvSpPr>
        <xdr:cNvPr id="388" name="Rectangle 387"/>
        <xdr:cNvSpPr/>
      </xdr:nvSpPr>
      <xdr:spPr>
        <a:xfrm>
          <a:off x="0" y="27660600"/>
          <a:ext cx="1949573"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Κλάσμα</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4</xdr:col>
      <xdr:colOff>251058</xdr:colOff>
      <xdr:row>112</xdr:row>
      <xdr:rowOff>57150</xdr:rowOff>
    </xdr:from>
    <xdr:ext cx="2761911" cy="718466"/>
    <xdr:sp macro="" textlink="">
      <xdr:nvSpPr>
        <xdr:cNvPr id="389" name="Rectangle 388"/>
        <xdr:cNvSpPr/>
      </xdr:nvSpPr>
      <xdr:spPr>
        <a:xfrm>
          <a:off x="1727433" y="28079700"/>
          <a:ext cx="2761911" cy="718466"/>
        </a:xfrm>
        <a:prstGeom prst="rect">
          <a:avLst/>
        </a:prstGeom>
        <a:noFill/>
      </xdr:spPr>
      <xdr:txBody>
        <a:bodyPr wrap="none" lIns="91440" tIns="45720" rIns="91440" bIns="45720">
          <a:spAutoFit/>
        </a:bodyPr>
        <a:lstStyle/>
        <a:p>
          <a:pPr algn="ctr"/>
          <a:r>
            <a:rPr lang="el-GR"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Δεκαδικός</a:t>
          </a:r>
          <a:endParaRPr lang="en-US"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9</xdr:col>
      <xdr:colOff>281311</xdr:colOff>
      <xdr:row>110</xdr:row>
      <xdr:rowOff>209550</xdr:rowOff>
    </xdr:from>
    <xdr:ext cx="2173800" cy="655885"/>
    <xdr:sp macro="" textlink="">
      <xdr:nvSpPr>
        <xdr:cNvPr id="390" name="Rectangle 389"/>
        <xdr:cNvSpPr/>
      </xdr:nvSpPr>
      <xdr:spPr>
        <a:xfrm>
          <a:off x="4081786" y="27736800"/>
          <a:ext cx="2173800"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Ποσοστό</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twoCellAnchor>
    <xdr:from>
      <xdr:col>1</xdr:col>
      <xdr:colOff>0</xdr:colOff>
      <xdr:row>46</xdr:row>
      <xdr:rowOff>0</xdr:rowOff>
    </xdr:from>
    <xdr:to>
      <xdr:col>1</xdr:col>
      <xdr:colOff>209550</xdr:colOff>
      <xdr:row>47</xdr:row>
      <xdr:rowOff>76200</xdr:rowOff>
    </xdr:to>
    <xdr:sp macro="" textlink="">
      <xdr:nvSpPr>
        <xdr:cNvPr id="391" name="TextBox 390"/>
        <xdr:cNvSpPr txBox="1"/>
      </xdr:nvSpPr>
      <xdr:spPr>
        <a:xfrm>
          <a:off x="295275" y="109918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4</xdr:col>
      <xdr:colOff>0</xdr:colOff>
      <xdr:row>46</xdr:row>
      <xdr:rowOff>0</xdr:rowOff>
    </xdr:from>
    <xdr:to>
      <xdr:col>4</xdr:col>
      <xdr:colOff>209550</xdr:colOff>
      <xdr:row>47</xdr:row>
      <xdr:rowOff>76200</xdr:rowOff>
    </xdr:to>
    <xdr:sp macro="" textlink="">
      <xdr:nvSpPr>
        <xdr:cNvPr id="392" name="TextBox 391"/>
        <xdr:cNvSpPr txBox="1"/>
      </xdr:nvSpPr>
      <xdr:spPr>
        <a:xfrm>
          <a:off x="1476375" y="109918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7</xdr:col>
      <xdr:colOff>66675</xdr:colOff>
      <xdr:row>46</xdr:row>
      <xdr:rowOff>47625</xdr:rowOff>
    </xdr:from>
    <xdr:to>
      <xdr:col>7</xdr:col>
      <xdr:colOff>276225</xdr:colOff>
      <xdr:row>47</xdr:row>
      <xdr:rowOff>123825</xdr:rowOff>
    </xdr:to>
    <xdr:sp macro="" textlink="">
      <xdr:nvSpPr>
        <xdr:cNvPr id="393" name="TextBox 392"/>
        <xdr:cNvSpPr txBox="1"/>
      </xdr:nvSpPr>
      <xdr:spPr>
        <a:xfrm>
          <a:off x="2876550" y="11039475"/>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11</xdr:col>
      <xdr:colOff>85725</xdr:colOff>
      <xdr:row>46</xdr:row>
      <xdr:rowOff>0</xdr:rowOff>
    </xdr:from>
    <xdr:to>
      <xdr:col>11</xdr:col>
      <xdr:colOff>295275</xdr:colOff>
      <xdr:row>47</xdr:row>
      <xdr:rowOff>76200</xdr:rowOff>
    </xdr:to>
    <xdr:sp macro="" textlink="">
      <xdr:nvSpPr>
        <xdr:cNvPr id="394" name="TextBox 393"/>
        <xdr:cNvSpPr txBox="1"/>
      </xdr:nvSpPr>
      <xdr:spPr>
        <a:xfrm>
          <a:off x="4552950" y="10991850"/>
          <a:ext cx="2095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10</xdr:col>
      <xdr:colOff>257175</xdr:colOff>
      <xdr:row>43</xdr:row>
      <xdr:rowOff>66675</xdr:rowOff>
    </xdr:from>
    <xdr:to>
      <xdr:col>11</xdr:col>
      <xdr:colOff>266700</xdr:colOff>
      <xdr:row>44</xdr:row>
      <xdr:rowOff>142875</xdr:rowOff>
    </xdr:to>
    <xdr:sp macro="" textlink="">
      <xdr:nvSpPr>
        <xdr:cNvPr id="395" name="TextBox 394"/>
        <xdr:cNvSpPr txBox="1"/>
      </xdr:nvSpPr>
      <xdr:spPr>
        <a:xfrm>
          <a:off x="4457700" y="10306050"/>
          <a:ext cx="2762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15</xdr:col>
      <xdr:colOff>47625</xdr:colOff>
      <xdr:row>46</xdr:row>
      <xdr:rowOff>95250</xdr:rowOff>
    </xdr:from>
    <xdr:to>
      <xdr:col>15</xdr:col>
      <xdr:colOff>323850</xdr:colOff>
      <xdr:row>47</xdr:row>
      <xdr:rowOff>171450</xdr:rowOff>
    </xdr:to>
    <xdr:sp macro="" textlink="">
      <xdr:nvSpPr>
        <xdr:cNvPr id="396" name="TextBox 395"/>
        <xdr:cNvSpPr txBox="1"/>
      </xdr:nvSpPr>
      <xdr:spPr>
        <a:xfrm>
          <a:off x="6581775" y="11087100"/>
          <a:ext cx="2762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600" b="1"/>
            <a:t>=</a:t>
          </a:r>
          <a:endParaRPr lang="en-GB" sz="1600" b="1"/>
        </a:p>
      </xdr:txBody>
    </xdr:sp>
    <xdr:clientData/>
  </xdr:twoCellAnchor>
  <xdr:twoCellAnchor>
    <xdr:from>
      <xdr:col>4</xdr:col>
      <xdr:colOff>619125</xdr:colOff>
      <xdr:row>119</xdr:row>
      <xdr:rowOff>219075</xdr:rowOff>
    </xdr:from>
    <xdr:to>
      <xdr:col>9</xdr:col>
      <xdr:colOff>323850</xdr:colOff>
      <xdr:row>123</xdr:row>
      <xdr:rowOff>76200</xdr:rowOff>
    </xdr:to>
    <xdr:sp macro="" textlink="">
      <xdr:nvSpPr>
        <xdr:cNvPr id="397" name="WordArt 1169" descr="80%"/>
        <xdr:cNvSpPr>
          <a:spLocks noChangeArrowheads="1" noChangeShapeType="1" noTextEdit="1"/>
        </xdr:cNvSpPr>
      </xdr:nvSpPr>
      <xdr:spPr bwMode="auto">
        <a:xfrm>
          <a:off x="2095500" y="29975175"/>
          <a:ext cx="2028825" cy="7048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pattFill prst="pct80">
                <a:fgClr>
                  <a:srgbClr val="FF0000"/>
                </a:fgClr>
                <a:bgClr>
                  <a:srgbClr val="FFFFFF"/>
                </a:bgClr>
              </a:pattFill>
              <a:effectLst>
                <a:outerShdw dist="125724" dir="18900000" algn="ctr" rotWithShape="0">
                  <a:srgbClr val="000099"/>
                </a:outerShdw>
              </a:effectLst>
              <a:latin typeface="Comic Sans MS"/>
            </a:rPr>
            <a:t>Δοκίμασε</a:t>
          </a:r>
          <a:endParaRPr lang="en-GB" sz="3600" b="1" kern="10" spc="-360">
            <a:ln w="12700">
              <a:solidFill>
                <a:srgbClr val="000099"/>
              </a:solidFill>
              <a:round/>
              <a:headEnd/>
              <a:tailEnd/>
            </a:ln>
            <a:pattFill prst="pct80">
              <a:fgClr>
                <a:srgbClr val="FF0000"/>
              </a:fgClr>
              <a:bgClr>
                <a:srgbClr val="FFFFFF"/>
              </a:bgClr>
            </a:pattFill>
            <a:effectLst>
              <a:outerShdw dist="125724" dir="18900000" algn="ctr" rotWithShape="0">
                <a:srgbClr val="000099"/>
              </a:outerShdw>
            </a:effectLst>
            <a:latin typeface="Comic Sans MS"/>
          </a:endParaRPr>
        </a:p>
      </xdr:txBody>
    </xdr:sp>
    <xdr:clientData/>
  </xdr:twoCellAnchor>
  <xdr:twoCellAnchor>
    <xdr:from>
      <xdr:col>2</xdr:col>
      <xdr:colOff>95250</xdr:colOff>
      <xdr:row>130</xdr:row>
      <xdr:rowOff>200025</xdr:rowOff>
    </xdr:from>
    <xdr:to>
      <xdr:col>2</xdr:col>
      <xdr:colOff>523875</xdr:colOff>
      <xdr:row>132</xdr:row>
      <xdr:rowOff>171450</xdr:rowOff>
    </xdr:to>
    <xdr:sp macro="" textlink="">
      <xdr:nvSpPr>
        <xdr:cNvPr id="398" name="Oval 1170"/>
        <xdr:cNvSpPr>
          <a:spLocks noChangeArrowheads="1"/>
        </xdr:cNvSpPr>
      </xdr:nvSpPr>
      <xdr:spPr bwMode="auto">
        <a:xfrm>
          <a:off x="657225" y="32746950"/>
          <a:ext cx="428625" cy="466725"/>
        </a:xfrm>
        <a:prstGeom prst="ellipse">
          <a:avLst/>
        </a:prstGeom>
        <a:solidFill>
          <a:srgbClr val="FFFF00"/>
        </a:solidFill>
        <a:ln w="9525">
          <a:solidFill>
            <a:srgbClr val="000000"/>
          </a:solidFill>
          <a:round/>
          <a:headEnd/>
          <a:tailEnd/>
        </a:ln>
        <a:effectLst/>
      </xdr:spPr>
    </xdr:sp>
    <xdr:clientData/>
  </xdr:twoCellAnchor>
  <xdr:twoCellAnchor>
    <xdr:from>
      <xdr:col>2</xdr:col>
      <xdr:colOff>238125</xdr:colOff>
      <xdr:row>132</xdr:row>
      <xdr:rowOff>171450</xdr:rowOff>
    </xdr:from>
    <xdr:to>
      <xdr:col>2</xdr:col>
      <xdr:colOff>419100</xdr:colOff>
      <xdr:row>134</xdr:row>
      <xdr:rowOff>0</xdr:rowOff>
    </xdr:to>
    <xdr:sp macro="" textlink="">
      <xdr:nvSpPr>
        <xdr:cNvPr id="399" name="Text Box 1171"/>
        <xdr:cNvSpPr txBox="1">
          <a:spLocks noChangeArrowheads="1"/>
        </xdr:cNvSpPr>
      </xdr:nvSpPr>
      <xdr:spPr bwMode="auto">
        <a:xfrm>
          <a:off x="800100" y="33213675"/>
          <a:ext cx="180975" cy="323850"/>
        </a:xfrm>
        <a:prstGeom prst="rect">
          <a:avLst/>
        </a:prstGeom>
        <a:solidFill>
          <a:srgbClr val="FFFF00"/>
        </a:solidFill>
        <a:ln w="9525">
          <a:noFill/>
          <a:miter lim="800000"/>
          <a:headEnd/>
          <a:tailEnd/>
        </a:ln>
        <a:effectLst/>
      </xdr:spPr>
    </xdr:sp>
    <xdr:clientData/>
  </xdr:twoCellAnchor>
  <xdr:twoCellAnchor>
    <xdr:from>
      <xdr:col>0</xdr:col>
      <xdr:colOff>371475</xdr:colOff>
      <xdr:row>132</xdr:row>
      <xdr:rowOff>142875</xdr:rowOff>
    </xdr:from>
    <xdr:to>
      <xdr:col>2</xdr:col>
      <xdr:colOff>276225</xdr:colOff>
      <xdr:row>134</xdr:row>
      <xdr:rowOff>47625</xdr:rowOff>
    </xdr:to>
    <xdr:sp macro="" textlink="">
      <xdr:nvSpPr>
        <xdr:cNvPr id="400" name="Freeform 1172"/>
        <xdr:cNvSpPr>
          <a:spLocks/>
        </xdr:cNvSpPr>
      </xdr:nvSpPr>
      <xdr:spPr bwMode="auto">
        <a:xfrm>
          <a:off x="295275" y="33185100"/>
          <a:ext cx="542925" cy="400050"/>
        </a:xfrm>
        <a:custGeom>
          <a:avLst/>
          <a:gdLst/>
          <a:ahLst/>
          <a:cxnLst>
            <a:cxn ang="0">
              <a:pos x="52" y="0"/>
            </a:cxn>
            <a:cxn ang="0">
              <a:pos x="21" y="13"/>
            </a:cxn>
            <a:cxn ang="0">
              <a:pos x="1" y="17"/>
            </a:cxn>
            <a:cxn ang="0">
              <a:pos x="0" y="24"/>
            </a:cxn>
          </a:cxnLst>
          <a:rect l="0" t="0" r="r" b="b"/>
          <a:pathLst>
            <a:path w="58" h="24">
              <a:moveTo>
                <a:pt x="52" y="0"/>
              </a:moveTo>
              <a:cubicBezTo>
                <a:pt x="58" y="18"/>
                <a:pt x="34" y="12"/>
                <a:pt x="21" y="13"/>
              </a:cubicBezTo>
              <a:cubicBezTo>
                <a:pt x="15" y="17"/>
                <a:pt x="8" y="15"/>
                <a:pt x="1" y="17"/>
              </a:cubicBezTo>
              <a:cubicBezTo>
                <a:pt x="0" y="21"/>
                <a:pt x="0" y="19"/>
                <a:pt x="0" y="24"/>
              </a:cubicBezTo>
            </a:path>
          </a:pathLst>
        </a:custGeom>
        <a:noFill/>
        <a:ln w="9525" cap="flat" cmpd="sng">
          <a:solidFill>
            <a:srgbClr val="000000"/>
          </a:solidFill>
          <a:prstDash val="solid"/>
          <a:round/>
          <a:headEnd/>
          <a:tailEnd/>
        </a:ln>
        <a:effectLst/>
      </xdr:spPr>
    </xdr:sp>
    <xdr:clientData/>
  </xdr:twoCellAnchor>
  <xdr:twoCellAnchor>
    <xdr:from>
      <xdr:col>2</xdr:col>
      <xdr:colOff>409575</xdr:colOff>
      <xdr:row>132</xdr:row>
      <xdr:rowOff>161925</xdr:rowOff>
    </xdr:from>
    <xdr:to>
      <xdr:col>4</xdr:col>
      <xdr:colOff>19050</xdr:colOff>
      <xdr:row>134</xdr:row>
      <xdr:rowOff>9525</xdr:rowOff>
    </xdr:to>
    <xdr:sp macro="" textlink="">
      <xdr:nvSpPr>
        <xdr:cNvPr id="401" name="Freeform 1173"/>
        <xdr:cNvSpPr>
          <a:spLocks/>
        </xdr:cNvSpPr>
      </xdr:nvSpPr>
      <xdr:spPr bwMode="auto">
        <a:xfrm>
          <a:off x="971550" y="33204150"/>
          <a:ext cx="523875" cy="342900"/>
        </a:xfrm>
        <a:custGeom>
          <a:avLst/>
          <a:gdLst/>
          <a:ahLst/>
          <a:cxnLst>
            <a:cxn ang="0">
              <a:pos x="0" y="0"/>
            </a:cxn>
            <a:cxn ang="0">
              <a:pos x="11" y="12"/>
            </a:cxn>
            <a:cxn ang="0">
              <a:pos x="31" y="11"/>
            </a:cxn>
            <a:cxn ang="0">
              <a:pos x="44" y="14"/>
            </a:cxn>
            <a:cxn ang="0">
              <a:pos x="47" y="18"/>
            </a:cxn>
          </a:cxnLst>
          <a:rect l="0" t="0" r="r" b="b"/>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cap="flat" cmpd="sng">
          <a:solidFill>
            <a:srgbClr val="000000"/>
          </a:solidFill>
          <a:prstDash val="solid"/>
          <a:round/>
          <a:headEnd/>
          <a:tailEnd/>
        </a:ln>
        <a:effectLst/>
      </xdr:spPr>
    </xdr:sp>
    <xdr:clientData/>
  </xdr:twoCellAnchor>
  <xdr:twoCellAnchor>
    <xdr:from>
      <xdr:col>0</xdr:col>
      <xdr:colOff>171450</xdr:colOff>
      <xdr:row>133</xdr:row>
      <xdr:rowOff>38100</xdr:rowOff>
    </xdr:from>
    <xdr:to>
      <xdr:col>2</xdr:col>
      <xdr:colOff>0</xdr:colOff>
      <xdr:row>137</xdr:row>
      <xdr:rowOff>76200</xdr:rowOff>
    </xdr:to>
    <xdr:sp macro="" textlink="">
      <xdr:nvSpPr>
        <xdr:cNvPr id="402" name="Freeform 1174"/>
        <xdr:cNvSpPr>
          <a:spLocks/>
        </xdr:cNvSpPr>
      </xdr:nvSpPr>
      <xdr:spPr bwMode="auto">
        <a:xfrm>
          <a:off x="171450" y="33327975"/>
          <a:ext cx="390525" cy="1181100"/>
        </a:xfrm>
        <a:custGeom>
          <a:avLst/>
          <a:gdLst/>
          <a:ahLst/>
          <a:cxnLst>
            <a:cxn ang="0">
              <a:pos x="48" y="31"/>
            </a:cxn>
            <a:cxn ang="0">
              <a:pos x="49" y="73"/>
            </a:cxn>
            <a:cxn ang="0">
              <a:pos x="50" y="79"/>
            </a:cxn>
            <a:cxn ang="0">
              <a:pos x="49" y="72"/>
            </a:cxn>
            <a:cxn ang="0">
              <a:pos x="48" y="106"/>
            </a:cxn>
            <a:cxn ang="0">
              <a:pos x="28" y="114"/>
            </a:cxn>
            <a:cxn ang="0">
              <a:pos x="16" y="35"/>
            </a:cxn>
            <a:cxn ang="0">
              <a:pos x="20" y="19"/>
            </a:cxn>
            <a:cxn ang="0">
              <a:pos x="23" y="0"/>
            </a:cxn>
          </a:cxnLst>
          <a:rect l="0" t="0" r="r" b="b"/>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cap="flat" cmpd="sng">
          <a:solidFill>
            <a:srgbClr val="000000"/>
          </a:solidFill>
          <a:prstDash val="solid"/>
          <a:round/>
          <a:headEnd/>
          <a:tailEnd/>
        </a:ln>
        <a:effectLst/>
      </xdr:spPr>
    </xdr:sp>
    <xdr:clientData/>
  </xdr:twoCellAnchor>
  <xdr:twoCellAnchor>
    <xdr:from>
      <xdr:col>1</xdr:col>
      <xdr:colOff>28575</xdr:colOff>
      <xdr:row>137</xdr:row>
      <xdr:rowOff>38100</xdr:rowOff>
    </xdr:from>
    <xdr:to>
      <xdr:col>1</xdr:col>
      <xdr:colOff>171450</xdr:colOff>
      <xdr:row>138</xdr:row>
      <xdr:rowOff>57150</xdr:rowOff>
    </xdr:to>
    <xdr:sp macro="" textlink="">
      <xdr:nvSpPr>
        <xdr:cNvPr id="403" name="Freeform 1175"/>
        <xdr:cNvSpPr>
          <a:spLocks/>
        </xdr:cNvSpPr>
      </xdr:nvSpPr>
      <xdr:spPr bwMode="auto">
        <a:xfrm>
          <a:off x="323850" y="34470975"/>
          <a:ext cx="142875" cy="266700"/>
        </a:xfrm>
        <a:custGeom>
          <a:avLst/>
          <a:gdLst/>
          <a:ahLst/>
          <a:cxnLst>
            <a:cxn ang="0">
              <a:pos x="5" y="3"/>
            </a:cxn>
            <a:cxn ang="0">
              <a:pos x="8" y="25"/>
            </a:cxn>
            <a:cxn ang="0">
              <a:pos x="14" y="0"/>
            </a:cxn>
          </a:cxnLst>
          <a:rect l="0" t="0" r="r" b="b"/>
          <a:pathLst>
            <a:path w="14" h="26">
              <a:moveTo>
                <a:pt x="5" y="3"/>
              </a:moveTo>
              <a:cubicBezTo>
                <a:pt x="1" y="9"/>
                <a:pt x="0" y="22"/>
                <a:pt x="8" y="25"/>
              </a:cubicBezTo>
              <a:cubicBezTo>
                <a:pt x="10" y="6"/>
                <a:pt x="14" y="26"/>
                <a:pt x="14" y="0"/>
              </a:cubicBezTo>
            </a:path>
          </a:pathLst>
        </a:custGeom>
        <a:solidFill>
          <a:srgbClr val="FFCC00"/>
        </a:solidFill>
        <a:ln w="9525" cap="flat" cmpd="sng">
          <a:solidFill>
            <a:srgbClr val="000000"/>
          </a:solidFill>
          <a:prstDash val="solid"/>
          <a:round/>
          <a:headEnd/>
          <a:tailEnd/>
        </a:ln>
        <a:effectLst/>
      </xdr:spPr>
    </xdr:sp>
    <xdr:clientData/>
  </xdr:twoCellAnchor>
  <xdr:twoCellAnchor>
    <xdr:from>
      <xdr:col>2</xdr:col>
      <xdr:colOff>609600</xdr:colOff>
      <xdr:row>133</xdr:row>
      <xdr:rowOff>66675</xdr:rowOff>
    </xdr:from>
    <xdr:to>
      <xdr:col>4</xdr:col>
      <xdr:colOff>95250</xdr:colOff>
      <xdr:row>137</xdr:row>
      <xdr:rowOff>28575</xdr:rowOff>
    </xdr:to>
    <xdr:sp macro="" textlink="">
      <xdr:nvSpPr>
        <xdr:cNvPr id="404" name="Freeform 1176"/>
        <xdr:cNvSpPr>
          <a:spLocks/>
        </xdr:cNvSpPr>
      </xdr:nvSpPr>
      <xdr:spPr bwMode="auto">
        <a:xfrm>
          <a:off x="1171575" y="33356550"/>
          <a:ext cx="400050" cy="1104900"/>
        </a:xfrm>
        <a:custGeom>
          <a:avLst/>
          <a:gdLst/>
          <a:ahLst/>
          <a:cxnLst>
            <a:cxn ang="0">
              <a:pos x="25" y="0"/>
            </a:cxn>
            <a:cxn ang="0">
              <a:pos x="30" y="11"/>
            </a:cxn>
            <a:cxn ang="0">
              <a:pos x="25" y="24"/>
            </a:cxn>
            <a:cxn ang="0">
              <a:pos x="23" y="50"/>
            </a:cxn>
            <a:cxn ang="0">
              <a:pos x="24" y="77"/>
            </a:cxn>
            <a:cxn ang="0">
              <a:pos x="26" y="83"/>
            </a:cxn>
            <a:cxn ang="0">
              <a:pos x="24" y="100"/>
            </a:cxn>
            <a:cxn ang="0">
              <a:pos x="11" y="106"/>
            </a:cxn>
            <a:cxn ang="0">
              <a:pos x="6" y="90"/>
            </a:cxn>
            <a:cxn ang="0">
              <a:pos x="2" y="53"/>
            </a:cxn>
            <a:cxn ang="0">
              <a:pos x="6" y="38"/>
            </a:cxn>
            <a:cxn ang="0">
              <a:pos x="4" y="28"/>
            </a:cxn>
          </a:cxnLst>
          <a:rect l="0" t="0" r="r" b="b"/>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00FF00"/>
        </a:solidFill>
        <a:ln w="9525" cap="flat" cmpd="sng">
          <a:solidFill>
            <a:srgbClr val="000000"/>
          </a:solidFill>
          <a:prstDash val="solid"/>
          <a:round/>
          <a:headEnd/>
          <a:tailEnd/>
        </a:ln>
        <a:effectLst/>
      </xdr:spPr>
    </xdr:sp>
    <xdr:clientData/>
  </xdr:twoCellAnchor>
  <xdr:twoCellAnchor>
    <xdr:from>
      <xdr:col>1</xdr:col>
      <xdr:colOff>200025</xdr:colOff>
      <xdr:row>130</xdr:row>
      <xdr:rowOff>95250</xdr:rowOff>
    </xdr:from>
    <xdr:to>
      <xdr:col>3</xdr:col>
      <xdr:colOff>9525</xdr:colOff>
      <xdr:row>132</xdr:row>
      <xdr:rowOff>209550</xdr:rowOff>
    </xdr:to>
    <xdr:sp macro="" textlink="">
      <xdr:nvSpPr>
        <xdr:cNvPr id="405" name="Freeform 1177"/>
        <xdr:cNvSpPr>
          <a:spLocks/>
        </xdr:cNvSpPr>
      </xdr:nvSpPr>
      <xdr:spPr bwMode="auto">
        <a:xfrm>
          <a:off x="495300" y="32642175"/>
          <a:ext cx="723900" cy="609600"/>
        </a:xfrm>
        <a:custGeom>
          <a:avLst/>
          <a:gdLst/>
          <a:ahLst/>
          <a:cxnLst>
            <a:cxn ang="0">
              <a:pos x="28" y="63"/>
            </a:cxn>
            <a:cxn ang="0">
              <a:pos x="10" y="58"/>
            </a:cxn>
            <a:cxn ang="0">
              <a:pos x="9" y="39"/>
            </a:cxn>
            <a:cxn ang="0">
              <a:pos x="12" y="22"/>
            </a:cxn>
            <a:cxn ang="0">
              <a:pos x="12" y="16"/>
            </a:cxn>
            <a:cxn ang="0">
              <a:pos x="18" y="12"/>
            </a:cxn>
            <a:cxn ang="0">
              <a:pos x="32" y="4"/>
            </a:cxn>
            <a:cxn ang="0">
              <a:pos x="38" y="5"/>
            </a:cxn>
            <a:cxn ang="0">
              <a:pos x="39" y="8"/>
            </a:cxn>
            <a:cxn ang="0">
              <a:pos x="44" y="4"/>
            </a:cxn>
            <a:cxn ang="0">
              <a:pos x="56" y="0"/>
            </a:cxn>
            <a:cxn ang="0">
              <a:pos x="60" y="5"/>
            </a:cxn>
            <a:cxn ang="0">
              <a:pos x="60" y="9"/>
            </a:cxn>
            <a:cxn ang="0">
              <a:pos x="67" y="16"/>
            </a:cxn>
            <a:cxn ang="0">
              <a:pos x="70" y="26"/>
            </a:cxn>
            <a:cxn ang="0">
              <a:pos x="76" y="44"/>
            </a:cxn>
            <a:cxn ang="0">
              <a:pos x="74" y="54"/>
            </a:cxn>
            <a:cxn ang="0">
              <a:pos x="69" y="59"/>
            </a:cxn>
            <a:cxn ang="0">
              <a:pos x="58" y="59"/>
            </a:cxn>
            <a:cxn ang="0">
              <a:pos x="60" y="41"/>
            </a:cxn>
            <a:cxn ang="0">
              <a:pos x="55" y="29"/>
            </a:cxn>
            <a:cxn ang="0">
              <a:pos x="47" y="16"/>
            </a:cxn>
            <a:cxn ang="0">
              <a:pos x="34" y="17"/>
            </a:cxn>
            <a:cxn ang="0">
              <a:pos x="23" y="23"/>
            </a:cxn>
            <a:cxn ang="0">
              <a:pos x="20" y="30"/>
            </a:cxn>
            <a:cxn ang="0">
              <a:pos x="17" y="37"/>
            </a:cxn>
            <a:cxn ang="0">
              <a:pos x="25" y="52"/>
            </a:cxn>
            <a:cxn ang="0">
              <a:pos x="26" y="61"/>
            </a:cxn>
            <a:cxn ang="0">
              <a:pos x="28" y="63"/>
            </a:cxn>
          </a:cxnLst>
          <a:rect l="0" t="0" r="r" b="b"/>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cap="flat" cmpd="sng">
          <a:solidFill>
            <a:srgbClr val="000000"/>
          </a:solidFill>
          <a:prstDash val="solid"/>
          <a:round/>
          <a:headEnd/>
          <a:tailEnd/>
        </a:ln>
        <a:effectLst/>
      </xdr:spPr>
    </xdr:sp>
    <xdr:clientData/>
  </xdr:twoCellAnchor>
  <xdr:twoCellAnchor>
    <xdr:from>
      <xdr:col>2</xdr:col>
      <xdr:colOff>200025</xdr:colOff>
      <xdr:row>131</xdr:row>
      <xdr:rowOff>104775</xdr:rowOff>
    </xdr:from>
    <xdr:to>
      <xdr:col>2</xdr:col>
      <xdr:colOff>266700</xdr:colOff>
      <xdr:row>131</xdr:row>
      <xdr:rowOff>228600</xdr:rowOff>
    </xdr:to>
    <xdr:sp macro="" textlink="">
      <xdr:nvSpPr>
        <xdr:cNvPr id="406" name="Freeform 1178"/>
        <xdr:cNvSpPr>
          <a:spLocks/>
        </xdr:cNvSpPr>
      </xdr:nvSpPr>
      <xdr:spPr bwMode="auto">
        <a:xfrm>
          <a:off x="762000" y="32899350"/>
          <a:ext cx="66675" cy="123825"/>
        </a:xfrm>
        <a:custGeom>
          <a:avLst/>
          <a:gdLst/>
          <a:ahLst/>
          <a:cxnLst>
            <a:cxn ang="0">
              <a:pos x="0" y="10"/>
            </a:cxn>
            <a:cxn ang="0">
              <a:pos x="7" y="7"/>
            </a:cxn>
            <a:cxn ang="0">
              <a:pos x="0" y="10"/>
            </a:cxn>
          </a:cxnLst>
          <a:rect l="0" t="0" r="r" b="b"/>
          <a:pathLst>
            <a:path w="7" h="13">
              <a:moveTo>
                <a:pt x="0" y="10"/>
              </a:moveTo>
              <a:cubicBezTo>
                <a:pt x="1" y="2"/>
                <a:pt x="3" y="0"/>
                <a:pt x="7" y="7"/>
              </a:cubicBezTo>
              <a:cubicBezTo>
                <a:pt x="6" y="13"/>
                <a:pt x="7" y="11"/>
                <a:pt x="0" y="10"/>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2</xdr:col>
      <xdr:colOff>352425</xdr:colOff>
      <xdr:row>131</xdr:row>
      <xdr:rowOff>104775</xdr:rowOff>
    </xdr:from>
    <xdr:to>
      <xdr:col>2</xdr:col>
      <xdr:colOff>419100</xdr:colOff>
      <xdr:row>131</xdr:row>
      <xdr:rowOff>228600</xdr:rowOff>
    </xdr:to>
    <xdr:sp macro="" textlink="">
      <xdr:nvSpPr>
        <xdr:cNvPr id="407" name="Freeform 1179"/>
        <xdr:cNvSpPr>
          <a:spLocks/>
        </xdr:cNvSpPr>
      </xdr:nvSpPr>
      <xdr:spPr bwMode="auto">
        <a:xfrm>
          <a:off x="914400" y="32899350"/>
          <a:ext cx="66675" cy="123825"/>
        </a:xfrm>
        <a:custGeom>
          <a:avLst/>
          <a:gdLst/>
          <a:ahLst/>
          <a:cxnLst>
            <a:cxn ang="0">
              <a:pos x="0" y="10"/>
            </a:cxn>
            <a:cxn ang="0">
              <a:pos x="7" y="7"/>
            </a:cxn>
            <a:cxn ang="0">
              <a:pos x="0" y="10"/>
            </a:cxn>
          </a:cxnLst>
          <a:rect l="0" t="0" r="r" b="b"/>
          <a:pathLst>
            <a:path w="7" h="13">
              <a:moveTo>
                <a:pt x="0" y="10"/>
              </a:moveTo>
              <a:cubicBezTo>
                <a:pt x="1" y="2"/>
                <a:pt x="3" y="0"/>
                <a:pt x="7" y="7"/>
              </a:cubicBezTo>
              <a:cubicBezTo>
                <a:pt x="6" y="13"/>
                <a:pt x="7" y="11"/>
                <a:pt x="0" y="10"/>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2</xdr:col>
      <xdr:colOff>171450</xdr:colOff>
      <xdr:row>131</xdr:row>
      <xdr:rowOff>76200</xdr:rowOff>
    </xdr:from>
    <xdr:to>
      <xdr:col>2</xdr:col>
      <xdr:colOff>266700</xdr:colOff>
      <xdr:row>131</xdr:row>
      <xdr:rowOff>114300</xdr:rowOff>
    </xdr:to>
    <xdr:sp macro="" textlink="">
      <xdr:nvSpPr>
        <xdr:cNvPr id="408" name="Freeform 1180"/>
        <xdr:cNvSpPr>
          <a:spLocks/>
        </xdr:cNvSpPr>
      </xdr:nvSpPr>
      <xdr:spPr bwMode="auto">
        <a:xfrm>
          <a:off x="733425" y="32870775"/>
          <a:ext cx="95250" cy="38100"/>
        </a:xfrm>
        <a:custGeom>
          <a:avLst/>
          <a:gdLst/>
          <a:ahLst/>
          <a:cxnLst>
            <a:cxn ang="0">
              <a:pos x="10" y="1"/>
            </a:cxn>
            <a:cxn ang="0">
              <a:pos x="0" y="4"/>
            </a:cxn>
          </a:cxnLst>
          <a:rect l="0" t="0" r="r" b="b"/>
          <a:pathLst>
            <a:path w="10" h="4">
              <a:moveTo>
                <a:pt x="10" y="1"/>
              </a:moveTo>
              <a:cubicBezTo>
                <a:pt x="1" y="2"/>
                <a:pt x="4" y="0"/>
                <a:pt x="0" y="4"/>
              </a:cubicBezTo>
            </a:path>
          </a:pathLst>
        </a:custGeom>
        <a:noFill/>
        <a:ln w="19050" cap="flat" cmpd="sng">
          <a:solidFill>
            <a:srgbClr val="000000"/>
          </a:solidFill>
          <a:prstDash val="solid"/>
          <a:round/>
          <a:headEnd type="none" w="med" len="med"/>
          <a:tailEnd type="none" w="med" len="med"/>
        </a:ln>
        <a:effectLst/>
      </xdr:spPr>
    </xdr:sp>
    <xdr:clientData/>
  </xdr:twoCellAnchor>
  <xdr:twoCellAnchor>
    <xdr:from>
      <xdr:col>2</xdr:col>
      <xdr:colOff>352425</xdr:colOff>
      <xdr:row>131</xdr:row>
      <xdr:rowOff>76200</xdr:rowOff>
    </xdr:from>
    <xdr:to>
      <xdr:col>2</xdr:col>
      <xdr:colOff>438150</xdr:colOff>
      <xdr:row>131</xdr:row>
      <xdr:rowOff>85725</xdr:rowOff>
    </xdr:to>
    <xdr:sp macro="" textlink="">
      <xdr:nvSpPr>
        <xdr:cNvPr id="409" name="Freeform 1181"/>
        <xdr:cNvSpPr>
          <a:spLocks/>
        </xdr:cNvSpPr>
      </xdr:nvSpPr>
      <xdr:spPr bwMode="auto">
        <a:xfrm>
          <a:off x="914400" y="32870775"/>
          <a:ext cx="85725" cy="9525"/>
        </a:xfrm>
        <a:custGeom>
          <a:avLst/>
          <a:gdLst/>
          <a:ahLst/>
          <a:cxnLst>
            <a:cxn ang="0">
              <a:pos x="0" y="0"/>
            </a:cxn>
            <a:cxn ang="0">
              <a:pos x="9" y="1"/>
            </a:cxn>
          </a:cxnLst>
          <a:rect l="0" t="0" r="r" b="b"/>
          <a:pathLst>
            <a:path w="9" h="1">
              <a:moveTo>
                <a:pt x="0" y="0"/>
              </a:moveTo>
              <a:cubicBezTo>
                <a:pt x="8" y="1"/>
                <a:pt x="5" y="1"/>
                <a:pt x="9" y="1"/>
              </a:cubicBezTo>
            </a:path>
          </a:pathLst>
        </a:custGeom>
        <a:noFill/>
        <a:ln w="19050" cap="flat" cmpd="sng">
          <a:solidFill>
            <a:srgbClr val="000000"/>
          </a:solidFill>
          <a:prstDash val="solid"/>
          <a:round/>
          <a:headEnd type="none" w="med" len="med"/>
          <a:tailEnd type="none" w="med" len="med"/>
        </a:ln>
        <a:effectLst/>
      </xdr:spPr>
    </xdr:sp>
    <xdr:clientData/>
  </xdr:twoCellAnchor>
  <xdr:twoCellAnchor>
    <xdr:from>
      <xdr:col>2</xdr:col>
      <xdr:colOff>247650</xdr:colOff>
      <xdr:row>132</xdr:row>
      <xdr:rowOff>66675</xdr:rowOff>
    </xdr:from>
    <xdr:to>
      <xdr:col>2</xdr:col>
      <xdr:colOff>409575</xdr:colOff>
      <xdr:row>132</xdr:row>
      <xdr:rowOff>114300</xdr:rowOff>
    </xdr:to>
    <xdr:sp macro="" textlink="">
      <xdr:nvSpPr>
        <xdr:cNvPr id="410" name="Freeform 1182"/>
        <xdr:cNvSpPr>
          <a:spLocks/>
        </xdr:cNvSpPr>
      </xdr:nvSpPr>
      <xdr:spPr bwMode="auto">
        <a:xfrm>
          <a:off x="809625" y="33108900"/>
          <a:ext cx="161925" cy="47625"/>
        </a:xfrm>
        <a:custGeom>
          <a:avLst/>
          <a:gdLst/>
          <a:ahLst/>
          <a:cxnLst>
            <a:cxn ang="0">
              <a:pos x="0" y="1"/>
            </a:cxn>
            <a:cxn ang="0">
              <a:pos x="9" y="5"/>
            </a:cxn>
            <a:cxn ang="0">
              <a:pos x="10" y="1"/>
            </a:cxn>
            <a:cxn ang="0">
              <a:pos x="0" y="1"/>
            </a:cxn>
          </a:cxnLst>
          <a:rect l="0" t="0" r="r" b="b"/>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2</xdr:col>
      <xdr:colOff>295275</xdr:colOff>
      <xdr:row>131</xdr:row>
      <xdr:rowOff>200025</xdr:rowOff>
    </xdr:from>
    <xdr:to>
      <xdr:col>2</xdr:col>
      <xdr:colOff>323850</xdr:colOff>
      <xdr:row>132</xdr:row>
      <xdr:rowOff>104775</xdr:rowOff>
    </xdr:to>
    <xdr:sp macro="" textlink="">
      <xdr:nvSpPr>
        <xdr:cNvPr id="411" name="Freeform 1183"/>
        <xdr:cNvSpPr>
          <a:spLocks/>
        </xdr:cNvSpPr>
      </xdr:nvSpPr>
      <xdr:spPr bwMode="auto">
        <a:xfrm>
          <a:off x="857250" y="32994600"/>
          <a:ext cx="28575" cy="152400"/>
        </a:xfrm>
        <a:custGeom>
          <a:avLst/>
          <a:gdLst/>
          <a:ahLst/>
          <a:cxnLst>
            <a:cxn ang="0">
              <a:pos x="0" y="0"/>
            </a:cxn>
            <a:cxn ang="0">
              <a:pos x="0" y="0"/>
            </a:cxn>
          </a:cxnLst>
          <a:rect l="0" t="0" r="r" b="b"/>
          <a:pathLst>
            <a:path w="3" h="16">
              <a:moveTo>
                <a:pt x="0" y="0"/>
              </a:moveTo>
              <a:cubicBezTo>
                <a:pt x="2" y="16"/>
                <a:pt x="3" y="6"/>
                <a:pt x="0" y="0"/>
              </a:cubicBezTo>
              <a:close/>
            </a:path>
          </a:pathLst>
        </a:custGeom>
        <a:solidFill>
          <a:srgbClr val="FFCC00"/>
        </a:solidFill>
        <a:ln w="9525" cap="flat" cmpd="sng">
          <a:solidFill>
            <a:srgbClr val="000000"/>
          </a:solidFill>
          <a:prstDash val="solid"/>
          <a:round/>
          <a:headEnd/>
          <a:tailEnd/>
        </a:ln>
        <a:effectLst/>
      </xdr:spPr>
    </xdr:sp>
    <xdr:clientData/>
  </xdr:twoCellAnchor>
  <xdr:twoCellAnchor>
    <xdr:from>
      <xdr:col>3</xdr:col>
      <xdr:colOff>95250</xdr:colOff>
      <xdr:row>136</xdr:row>
      <xdr:rowOff>352425</xdr:rowOff>
    </xdr:from>
    <xdr:to>
      <xdr:col>4</xdr:col>
      <xdr:colOff>114300</xdr:colOff>
      <xdr:row>138</xdr:row>
      <xdr:rowOff>19050</xdr:rowOff>
    </xdr:to>
    <xdr:sp macro="" textlink="">
      <xdr:nvSpPr>
        <xdr:cNvPr id="412" name="Freeform 1184"/>
        <xdr:cNvSpPr>
          <a:spLocks/>
        </xdr:cNvSpPr>
      </xdr:nvSpPr>
      <xdr:spPr bwMode="auto">
        <a:xfrm>
          <a:off x="1304925" y="34432875"/>
          <a:ext cx="285750" cy="266700"/>
        </a:xfrm>
        <a:custGeom>
          <a:avLst/>
          <a:gdLst/>
          <a:ahLst/>
          <a:cxnLst>
            <a:cxn ang="0">
              <a:pos x="0" y="4"/>
            </a:cxn>
            <a:cxn ang="0">
              <a:pos x="6" y="21"/>
            </a:cxn>
            <a:cxn ang="0">
              <a:pos x="12" y="29"/>
            </a:cxn>
            <a:cxn ang="0">
              <a:pos x="10" y="0"/>
            </a:cxn>
          </a:cxnLst>
          <a:rect l="0" t="0" r="r" b="b"/>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cap="flat" cmpd="sng">
          <a:solidFill>
            <a:srgbClr val="000000"/>
          </a:solidFill>
          <a:prstDash val="solid"/>
          <a:round/>
          <a:headEnd/>
          <a:tailEnd/>
        </a:ln>
        <a:effectLst/>
      </xdr:spPr>
    </xdr:sp>
    <xdr:clientData/>
  </xdr:twoCellAnchor>
  <xdr:twoCellAnchor>
    <xdr:from>
      <xdr:col>2</xdr:col>
      <xdr:colOff>209550</xdr:colOff>
      <xdr:row>131</xdr:row>
      <xdr:rowOff>123825</xdr:rowOff>
    </xdr:from>
    <xdr:to>
      <xdr:col>2</xdr:col>
      <xdr:colOff>304800</xdr:colOff>
      <xdr:row>131</xdr:row>
      <xdr:rowOff>200025</xdr:rowOff>
    </xdr:to>
    <xdr:sp macro="" textlink="">
      <xdr:nvSpPr>
        <xdr:cNvPr id="413" name="Freeform 1185"/>
        <xdr:cNvSpPr>
          <a:spLocks/>
        </xdr:cNvSpPr>
      </xdr:nvSpPr>
      <xdr:spPr bwMode="auto">
        <a:xfrm>
          <a:off x="771525" y="32918400"/>
          <a:ext cx="95250" cy="76200"/>
        </a:xfrm>
        <a:custGeom>
          <a:avLst/>
          <a:gdLst/>
          <a:ahLst/>
          <a:cxnLst>
            <a:cxn ang="0">
              <a:pos x="0" y="6"/>
            </a:cxn>
            <a:cxn ang="0">
              <a:pos x="3" y="4"/>
            </a:cxn>
            <a:cxn ang="0">
              <a:pos x="1" y="7"/>
            </a:cxn>
            <a:cxn ang="0">
              <a:pos x="4" y="6"/>
            </a:cxn>
            <a:cxn ang="0">
              <a:pos x="0" y="6"/>
            </a:cxn>
          </a:cxnLst>
          <a:rect l="0" t="0" r="r" b="b"/>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2</xdr:col>
      <xdr:colOff>361950</xdr:colOff>
      <xdr:row>131</xdr:row>
      <xdr:rowOff>133350</xdr:rowOff>
    </xdr:from>
    <xdr:to>
      <xdr:col>2</xdr:col>
      <xdr:colOff>457200</xdr:colOff>
      <xdr:row>131</xdr:row>
      <xdr:rowOff>209550</xdr:rowOff>
    </xdr:to>
    <xdr:sp macro="" textlink="">
      <xdr:nvSpPr>
        <xdr:cNvPr id="414" name="Freeform 1186"/>
        <xdr:cNvSpPr>
          <a:spLocks/>
        </xdr:cNvSpPr>
      </xdr:nvSpPr>
      <xdr:spPr bwMode="auto">
        <a:xfrm>
          <a:off x="923925" y="32927925"/>
          <a:ext cx="95250" cy="76200"/>
        </a:xfrm>
        <a:custGeom>
          <a:avLst/>
          <a:gdLst/>
          <a:ahLst/>
          <a:cxnLst>
            <a:cxn ang="0">
              <a:pos x="0" y="6"/>
            </a:cxn>
            <a:cxn ang="0">
              <a:pos x="3" y="4"/>
            </a:cxn>
            <a:cxn ang="0">
              <a:pos x="1" y="7"/>
            </a:cxn>
            <a:cxn ang="0">
              <a:pos x="4" y="6"/>
            </a:cxn>
            <a:cxn ang="0">
              <a:pos x="0" y="6"/>
            </a:cxn>
          </a:cxnLst>
          <a:rect l="0" t="0" r="r" b="b"/>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xdr:col>
      <xdr:colOff>209550</xdr:colOff>
      <xdr:row>137</xdr:row>
      <xdr:rowOff>114300</xdr:rowOff>
    </xdr:from>
    <xdr:to>
      <xdr:col>4</xdr:col>
      <xdr:colOff>9525</xdr:colOff>
      <xdr:row>142</xdr:row>
      <xdr:rowOff>209550</xdr:rowOff>
    </xdr:to>
    <xdr:sp macro="" textlink="">
      <xdr:nvSpPr>
        <xdr:cNvPr id="415" name="Freeform 1187"/>
        <xdr:cNvSpPr>
          <a:spLocks/>
        </xdr:cNvSpPr>
      </xdr:nvSpPr>
      <xdr:spPr bwMode="auto">
        <a:xfrm>
          <a:off x="504825" y="34547175"/>
          <a:ext cx="981075" cy="1333500"/>
        </a:xfrm>
        <a:custGeom>
          <a:avLst/>
          <a:gdLst/>
          <a:ahLst/>
          <a:cxnLst>
            <a:cxn ang="0">
              <a:pos x="7" y="0"/>
            </a:cxn>
            <a:cxn ang="0">
              <a:pos x="1" y="28"/>
            </a:cxn>
            <a:cxn ang="0">
              <a:pos x="5" y="67"/>
            </a:cxn>
            <a:cxn ang="0">
              <a:pos x="4" y="102"/>
            </a:cxn>
            <a:cxn ang="0">
              <a:pos x="0" y="108"/>
            </a:cxn>
            <a:cxn ang="0">
              <a:pos x="10" y="124"/>
            </a:cxn>
            <a:cxn ang="0">
              <a:pos x="22" y="121"/>
            </a:cxn>
            <a:cxn ang="0">
              <a:pos x="33" y="127"/>
            </a:cxn>
            <a:cxn ang="0">
              <a:pos x="39" y="104"/>
            </a:cxn>
            <a:cxn ang="0">
              <a:pos x="43" y="88"/>
            </a:cxn>
            <a:cxn ang="0">
              <a:pos x="44" y="84"/>
            </a:cxn>
            <a:cxn ang="0">
              <a:pos x="43" y="45"/>
            </a:cxn>
            <a:cxn ang="0">
              <a:pos x="44" y="56"/>
            </a:cxn>
            <a:cxn ang="0">
              <a:pos x="47" y="58"/>
            </a:cxn>
            <a:cxn ang="0">
              <a:pos x="53" y="85"/>
            </a:cxn>
            <a:cxn ang="0">
              <a:pos x="65" y="127"/>
            </a:cxn>
            <a:cxn ang="0">
              <a:pos x="85" y="120"/>
            </a:cxn>
            <a:cxn ang="0">
              <a:pos x="95" y="116"/>
            </a:cxn>
            <a:cxn ang="0">
              <a:pos x="91" y="82"/>
            </a:cxn>
            <a:cxn ang="0">
              <a:pos x="87" y="65"/>
            </a:cxn>
            <a:cxn ang="0">
              <a:pos x="80" y="42"/>
            </a:cxn>
            <a:cxn ang="0">
              <a:pos x="75" y="30"/>
            </a:cxn>
            <a:cxn ang="0">
              <a:pos x="72" y="2"/>
            </a:cxn>
          </a:cxnLst>
          <a:rect l="0" t="0" r="r" b="b"/>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cap="flat" cmpd="sng">
          <a:solidFill>
            <a:srgbClr val="000000"/>
          </a:solidFill>
          <a:prstDash val="solid"/>
          <a:round/>
          <a:headEnd/>
          <a:tailEnd/>
        </a:ln>
        <a:effectLst/>
      </xdr:spPr>
    </xdr:sp>
    <xdr:clientData/>
  </xdr:twoCellAnchor>
  <xdr:twoCellAnchor>
    <xdr:from>
      <xdr:col>2</xdr:col>
      <xdr:colOff>47625</xdr:colOff>
      <xdr:row>138</xdr:row>
      <xdr:rowOff>28575</xdr:rowOff>
    </xdr:from>
    <xdr:to>
      <xdr:col>2</xdr:col>
      <xdr:colOff>238125</xdr:colOff>
      <xdr:row>139</xdr:row>
      <xdr:rowOff>0</xdr:rowOff>
    </xdr:to>
    <xdr:sp macro="" textlink="">
      <xdr:nvSpPr>
        <xdr:cNvPr id="416" name="Freeform 1188"/>
        <xdr:cNvSpPr>
          <a:spLocks/>
        </xdr:cNvSpPr>
      </xdr:nvSpPr>
      <xdr:spPr bwMode="auto">
        <a:xfrm>
          <a:off x="609600" y="34709100"/>
          <a:ext cx="190500" cy="219075"/>
        </a:xfrm>
        <a:custGeom>
          <a:avLst/>
          <a:gdLst/>
          <a:ahLst/>
          <a:cxnLst>
            <a:cxn ang="0">
              <a:pos x="4" y="11"/>
            </a:cxn>
            <a:cxn ang="0">
              <a:pos x="15" y="21"/>
            </a:cxn>
            <a:cxn ang="0">
              <a:pos x="15" y="0"/>
            </a:cxn>
            <a:cxn ang="0">
              <a:pos x="4" y="11"/>
            </a:cxn>
          </a:cxnLst>
          <a:rect l="0" t="0" r="r" b="b"/>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2</xdr:col>
      <xdr:colOff>419100</xdr:colOff>
      <xdr:row>138</xdr:row>
      <xdr:rowOff>19050</xdr:rowOff>
    </xdr:from>
    <xdr:to>
      <xdr:col>2</xdr:col>
      <xdr:colOff>609600</xdr:colOff>
      <xdr:row>138</xdr:row>
      <xdr:rowOff>238125</xdr:rowOff>
    </xdr:to>
    <xdr:sp macro="" textlink="">
      <xdr:nvSpPr>
        <xdr:cNvPr id="417" name="Freeform 1189"/>
        <xdr:cNvSpPr>
          <a:spLocks/>
        </xdr:cNvSpPr>
      </xdr:nvSpPr>
      <xdr:spPr bwMode="auto">
        <a:xfrm>
          <a:off x="981075" y="34699575"/>
          <a:ext cx="190500" cy="219075"/>
        </a:xfrm>
        <a:custGeom>
          <a:avLst/>
          <a:gdLst/>
          <a:ahLst/>
          <a:cxnLst>
            <a:cxn ang="0">
              <a:pos x="4" y="11"/>
            </a:cxn>
            <a:cxn ang="0">
              <a:pos x="15" y="21"/>
            </a:cxn>
            <a:cxn ang="0">
              <a:pos x="15" y="0"/>
            </a:cxn>
            <a:cxn ang="0">
              <a:pos x="4" y="11"/>
            </a:cxn>
          </a:cxnLst>
          <a:rect l="0" t="0" r="r" b="b"/>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0</xdr:col>
      <xdr:colOff>352425</xdr:colOff>
      <xdr:row>142</xdr:row>
      <xdr:rowOff>123825</xdr:rowOff>
    </xdr:from>
    <xdr:to>
      <xdr:col>2</xdr:col>
      <xdr:colOff>285750</xdr:colOff>
      <xdr:row>144</xdr:row>
      <xdr:rowOff>238125</xdr:rowOff>
    </xdr:to>
    <xdr:sp macro="" textlink="">
      <xdr:nvSpPr>
        <xdr:cNvPr id="418" name="Freeform 1190"/>
        <xdr:cNvSpPr>
          <a:spLocks/>
        </xdr:cNvSpPr>
      </xdr:nvSpPr>
      <xdr:spPr bwMode="auto">
        <a:xfrm>
          <a:off x="295275" y="35794950"/>
          <a:ext cx="552450" cy="609600"/>
        </a:xfrm>
        <a:custGeom>
          <a:avLst/>
          <a:gdLst/>
          <a:ahLst/>
          <a:cxnLst>
            <a:cxn ang="0">
              <a:pos x="34" y="0"/>
            </a:cxn>
            <a:cxn ang="0">
              <a:pos x="28" y="25"/>
            </a:cxn>
            <a:cxn ang="0">
              <a:pos x="8" y="48"/>
            </a:cxn>
            <a:cxn ang="0">
              <a:pos x="0" y="57"/>
            </a:cxn>
            <a:cxn ang="0">
              <a:pos x="14" y="64"/>
            </a:cxn>
            <a:cxn ang="0">
              <a:pos x="39" y="56"/>
            </a:cxn>
            <a:cxn ang="0">
              <a:pos x="54" y="60"/>
            </a:cxn>
            <a:cxn ang="0">
              <a:pos x="56" y="5"/>
            </a:cxn>
          </a:cxnLst>
          <a:rect l="0" t="0" r="r" b="b"/>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FF0000"/>
        </a:solidFill>
        <a:ln w="9525" cap="flat" cmpd="sng">
          <a:solidFill>
            <a:srgbClr val="000000"/>
          </a:solidFill>
          <a:prstDash val="solid"/>
          <a:round/>
          <a:headEnd/>
          <a:tailEnd/>
        </a:ln>
        <a:effectLst/>
      </xdr:spPr>
    </xdr:sp>
    <xdr:clientData/>
  </xdr:twoCellAnchor>
  <xdr:twoCellAnchor>
    <xdr:from>
      <xdr:col>2</xdr:col>
      <xdr:colOff>590550</xdr:colOff>
      <xdr:row>142</xdr:row>
      <xdr:rowOff>171450</xdr:rowOff>
    </xdr:from>
    <xdr:to>
      <xdr:col>4</xdr:col>
      <xdr:colOff>371475</xdr:colOff>
      <xdr:row>144</xdr:row>
      <xdr:rowOff>209550</xdr:rowOff>
    </xdr:to>
    <xdr:sp macro="" textlink="">
      <xdr:nvSpPr>
        <xdr:cNvPr id="419" name="Freeform 1191"/>
        <xdr:cNvSpPr>
          <a:spLocks/>
        </xdr:cNvSpPr>
      </xdr:nvSpPr>
      <xdr:spPr bwMode="auto">
        <a:xfrm>
          <a:off x="1152525" y="35842575"/>
          <a:ext cx="695325" cy="533400"/>
        </a:xfrm>
        <a:custGeom>
          <a:avLst/>
          <a:gdLst/>
          <a:ahLst/>
          <a:cxnLst>
            <a:cxn ang="0">
              <a:pos x="0" y="5"/>
            </a:cxn>
            <a:cxn ang="0">
              <a:pos x="4" y="11"/>
            </a:cxn>
            <a:cxn ang="0">
              <a:pos x="5" y="25"/>
            </a:cxn>
            <a:cxn ang="0">
              <a:pos x="6" y="28"/>
            </a:cxn>
            <a:cxn ang="0">
              <a:pos x="9" y="49"/>
            </a:cxn>
            <a:cxn ang="0">
              <a:pos x="18" y="53"/>
            </a:cxn>
            <a:cxn ang="0">
              <a:pos x="34" y="52"/>
            </a:cxn>
            <a:cxn ang="0">
              <a:pos x="43" y="56"/>
            </a:cxn>
            <a:cxn ang="0">
              <a:pos x="56" y="55"/>
            </a:cxn>
            <a:cxn ang="0">
              <a:pos x="62" y="51"/>
            </a:cxn>
            <a:cxn ang="0">
              <a:pos x="36" y="25"/>
            </a:cxn>
            <a:cxn ang="0">
              <a:pos x="26" y="14"/>
            </a:cxn>
            <a:cxn ang="0">
              <a:pos x="24" y="0"/>
            </a:cxn>
          </a:cxnLst>
          <a:rect l="0" t="0" r="r" b="b"/>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FF0000"/>
        </a:solidFill>
        <a:ln w="9525" cap="flat" cmpd="sng">
          <a:solidFill>
            <a:srgbClr val="000000"/>
          </a:solidFill>
          <a:prstDash val="solid"/>
          <a:round/>
          <a:headEnd/>
          <a:tailEnd/>
        </a:ln>
        <a:effectLst/>
      </xdr:spPr>
    </xdr:sp>
    <xdr:clientData/>
  </xdr:twoCellAnchor>
  <xdr:twoCellAnchor>
    <xdr:from>
      <xdr:col>2</xdr:col>
      <xdr:colOff>114300</xdr:colOff>
      <xdr:row>140</xdr:row>
      <xdr:rowOff>95250</xdr:rowOff>
    </xdr:from>
    <xdr:to>
      <xdr:col>2</xdr:col>
      <xdr:colOff>266700</xdr:colOff>
      <xdr:row>141</xdr:row>
      <xdr:rowOff>104775</xdr:rowOff>
    </xdr:to>
    <xdr:sp macro="" textlink="">
      <xdr:nvSpPr>
        <xdr:cNvPr id="420" name="Oval 1192"/>
        <xdr:cNvSpPr>
          <a:spLocks noChangeArrowheads="1"/>
        </xdr:cNvSpPr>
      </xdr:nvSpPr>
      <xdr:spPr bwMode="auto">
        <a:xfrm>
          <a:off x="676275" y="35271075"/>
          <a:ext cx="152400" cy="257175"/>
        </a:xfrm>
        <a:prstGeom prst="ellipse">
          <a:avLst/>
        </a:prstGeom>
        <a:solidFill>
          <a:srgbClr val="FFCC00"/>
        </a:solidFill>
        <a:ln w="9525">
          <a:solidFill>
            <a:srgbClr val="000000"/>
          </a:solidFill>
          <a:round/>
          <a:headEnd/>
          <a:tailEnd/>
        </a:ln>
        <a:effectLst/>
      </xdr:spPr>
    </xdr:sp>
    <xdr:clientData/>
  </xdr:twoCellAnchor>
  <xdr:twoCellAnchor>
    <xdr:from>
      <xdr:col>2</xdr:col>
      <xdr:colOff>561975</xdr:colOff>
      <xdr:row>140</xdr:row>
      <xdr:rowOff>85725</xdr:rowOff>
    </xdr:from>
    <xdr:to>
      <xdr:col>3</xdr:col>
      <xdr:colOff>66675</xdr:colOff>
      <xdr:row>141</xdr:row>
      <xdr:rowOff>95250</xdr:rowOff>
    </xdr:to>
    <xdr:sp macro="" textlink="">
      <xdr:nvSpPr>
        <xdr:cNvPr id="421" name="Oval 1193"/>
        <xdr:cNvSpPr>
          <a:spLocks noChangeArrowheads="1"/>
        </xdr:cNvSpPr>
      </xdr:nvSpPr>
      <xdr:spPr bwMode="auto">
        <a:xfrm>
          <a:off x="1123950" y="35261550"/>
          <a:ext cx="152400" cy="257175"/>
        </a:xfrm>
        <a:prstGeom prst="ellipse">
          <a:avLst/>
        </a:prstGeom>
        <a:solidFill>
          <a:srgbClr val="FFCC00"/>
        </a:solidFill>
        <a:ln w="9525">
          <a:solidFill>
            <a:srgbClr val="000000"/>
          </a:solidFill>
          <a:round/>
          <a:headEnd/>
          <a:tailEnd/>
        </a:ln>
        <a:effectLst/>
      </xdr:spPr>
    </xdr:sp>
    <xdr:clientData/>
  </xdr:twoCellAnchor>
  <xdr:twoCellAnchor>
    <xdr:from>
      <xdr:col>4</xdr:col>
      <xdr:colOff>200025</xdr:colOff>
      <xdr:row>130</xdr:row>
      <xdr:rowOff>114300</xdr:rowOff>
    </xdr:from>
    <xdr:to>
      <xdr:col>5</xdr:col>
      <xdr:colOff>304800</xdr:colOff>
      <xdr:row>137</xdr:row>
      <xdr:rowOff>142875</xdr:rowOff>
    </xdr:to>
    <xdr:sp macro="" textlink="">
      <xdr:nvSpPr>
        <xdr:cNvPr id="422" name="Freeform 1194"/>
        <xdr:cNvSpPr>
          <a:spLocks/>
        </xdr:cNvSpPr>
      </xdr:nvSpPr>
      <xdr:spPr bwMode="auto">
        <a:xfrm>
          <a:off x="1676400" y="32661225"/>
          <a:ext cx="790575" cy="1914525"/>
        </a:xfrm>
        <a:custGeom>
          <a:avLst/>
          <a:gdLst/>
          <a:ahLst/>
          <a:cxnLst>
            <a:cxn ang="0">
              <a:pos x="0" y="5"/>
            </a:cxn>
            <a:cxn ang="0">
              <a:pos x="25" y="11"/>
            </a:cxn>
            <a:cxn ang="0">
              <a:pos x="32" y="27"/>
            </a:cxn>
            <a:cxn ang="0">
              <a:pos x="31" y="53"/>
            </a:cxn>
            <a:cxn ang="0">
              <a:pos x="29" y="61"/>
            </a:cxn>
            <a:cxn ang="0">
              <a:pos x="60" y="94"/>
            </a:cxn>
            <a:cxn ang="0">
              <a:pos x="73" y="103"/>
            </a:cxn>
            <a:cxn ang="0">
              <a:pos x="76" y="106"/>
            </a:cxn>
            <a:cxn ang="0">
              <a:pos x="81" y="118"/>
            </a:cxn>
            <a:cxn ang="0">
              <a:pos x="67" y="149"/>
            </a:cxn>
            <a:cxn ang="0">
              <a:pos x="35" y="170"/>
            </a:cxn>
            <a:cxn ang="0">
              <a:pos x="58" y="183"/>
            </a:cxn>
            <a:cxn ang="0">
              <a:pos x="61" y="191"/>
            </a:cxn>
            <a:cxn ang="0">
              <a:pos x="26" y="184"/>
            </a:cxn>
            <a:cxn ang="0">
              <a:pos x="27" y="173"/>
            </a:cxn>
            <a:cxn ang="0">
              <a:pos x="63" y="153"/>
            </a:cxn>
            <a:cxn ang="0">
              <a:pos x="75" y="142"/>
            </a:cxn>
            <a:cxn ang="0">
              <a:pos x="65" y="103"/>
            </a:cxn>
            <a:cxn ang="0">
              <a:pos x="48" y="98"/>
            </a:cxn>
            <a:cxn ang="0">
              <a:pos x="37" y="93"/>
            </a:cxn>
            <a:cxn ang="0">
              <a:pos x="26" y="78"/>
            </a:cxn>
            <a:cxn ang="0">
              <a:pos x="20" y="17"/>
            </a:cxn>
            <a:cxn ang="0">
              <a:pos x="12" y="4"/>
            </a:cxn>
            <a:cxn ang="0">
              <a:pos x="0" y="5"/>
            </a:cxn>
          </a:cxnLst>
          <a:rect l="0" t="0" r="r" b="b"/>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4</xdr:col>
      <xdr:colOff>352425</xdr:colOff>
      <xdr:row>131</xdr:row>
      <xdr:rowOff>19050</xdr:rowOff>
    </xdr:from>
    <xdr:to>
      <xdr:col>5</xdr:col>
      <xdr:colOff>457200</xdr:colOff>
      <xdr:row>138</xdr:row>
      <xdr:rowOff>142875</xdr:rowOff>
    </xdr:to>
    <xdr:sp macro="" textlink="">
      <xdr:nvSpPr>
        <xdr:cNvPr id="423" name="Freeform 1195"/>
        <xdr:cNvSpPr>
          <a:spLocks/>
        </xdr:cNvSpPr>
      </xdr:nvSpPr>
      <xdr:spPr bwMode="auto">
        <a:xfrm>
          <a:off x="1828800" y="32813625"/>
          <a:ext cx="714375" cy="2009775"/>
        </a:xfrm>
        <a:custGeom>
          <a:avLst/>
          <a:gdLst/>
          <a:ahLst/>
          <a:cxnLst>
            <a:cxn ang="0">
              <a:pos x="0" y="5"/>
            </a:cxn>
            <a:cxn ang="0">
              <a:pos x="25" y="11"/>
            </a:cxn>
            <a:cxn ang="0">
              <a:pos x="32" y="27"/>
            </a:cxn>
            <a:cxn ang="0">
              <a:pos x="31" y="53"/>
            </a:cxn>
            <a:cxn ang="0">
              <a:pos x="29" y="61"/>
            </a:cxn>
            <a:cxn ang="0">
              <a:pos x="60" y="94"/>
            </a:cxn>
            <a:cxn ang="0">
              <a:pos x="73" y="103"/>
            </a:cxn>
            <a:cxn ang="0">
              <a:pos x="76" y="106"/>
            </a:cxn>
            <a:cxn ang="0">
              <a:pos x="81" y="118"/>
            </a:cxn>
            <a:cxn ang="0">
              <a:pos x="67" y="149"/>
            </a:cxn>
            <a:cxn ang="0">
              <a:pos x="35" y="170"/>
            </a:cxn>
            <a:cxn ang="0">
              <a:pos x="58" y="183"/>
            </a:cxn>
            <a:cxn ang="0">
              <a:pos x="61" y="191"/>
            </a:cxn>
            <a:cxn ang="0">
              <a:pos x="26" y="184"/>
            </a:cxn>
            <a:cxn ang="0">
              <a:pos x="27" y="173"/>
            </a:cxn>
            <a:cxn ang="0">
              <a:pos x="63" y="153"/>
            </a:cxn>
            <a:cxn ang="0">
              <a:pos x="75" y="142"/>
            </a:cxn>
            <a:cxn ang="0">
              <a:pos x="65" y="103"/>
            </a:cxn>
            <a:cxn ang="0">
              <a:pos x="48" y="98"/>
            </a:cxn>
            <a:cxn ang="0">
              <a:pos x="37" y="93"/>
            </a:cxn>
            <a:cxn ang="0">
              <a:pos x="26" y="78"/>
            </a:cxn>
            <a:cxn ang="0">
              <a:pos x="20" y="17"/>
            </a:cxn>
            <a:cxn ang="0">
              <a:pos x="12" y="4"/>
            </a:cxn>
            <a:cxn ang="0">
              <a:pos x="0" y="5"/>
            </a:cxn>
          </a:cxnLst>
          <a:rect l="0" t="0" r="r" b="b"/>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7</xdr:col>
      <xdr:colOff>95250</xdr:colOff>
      <xdr:row>130</xdr:row>
      <xdr:rowOff>200025</xdr:rowOff>
    </xdr:from>
    <xdr:to>
      <xdr:col>7</xdr:col>
      <xdr:colOff>523875</xdr:colOff>
      <xdr:row>132</xdr:row>
      <xdr:rowOff>171450</xdr:rowOff>
    </xdr:to>
    <xdr:sp macro="" textlink="">
      <xdr:nvSpPr>
        <xdr:cNvPr id="424" name="Oval 1196"/>
        <xdr:cNvSpPr>
          <a:spLocks noChangeArrowheads="1"/>
        </xdr:cNvSpPr>
      </xdr:nvSpPr>
      <xdr:spPr bwMode="auto">
        <a:xfrm>
          <a:off x="2905125" y="32746950"/>
          <a:ext cx="428625" cy="466725"/>
        </a:xfrm>
        <a:prstGeom prst="ellipse">
          <a:avLst/>
        </a:prstGeom>
        <a:solidFill>
          <a:srgbClr val="FFFF00"/>
        </a:solidFill>
        <a:ln w="9525">
          <a:solidFill>
            <a:srgbClr val="000000"/>
          </a:solidFill>
          <a:round/>
          <a:headEnd/>
          <a:tailEnd/>
        </a:ln>
        <a:effectLst/>
      </xdr:spPr>
    </xdr:sp>
    <xdr:clientData/>
  </xdr:twoCellAnchor>
  <xdr:twoCellAnchor>
    <xdr:from>
      <xdr:col>7</xdr:col>
      <xdr:colOff>238125</xdr:colOff>
      <xdr:row>132</xdr:row>
      <xdr:rowOff>171450</xdr:rowOff>
    </xdr:from>
    <xdr:to>
      <xdr:col>7</xdr:col>
      <xdr:colOff>419100</xdr:colOff>
      <xdr:row>134</xdr:row>
      <xdr:rowOff>0</xdr:rowOff>
    </xdr:to>
    <xdr:sp macro="" textlink="">
      <xdr:nvSpPr>
        <xdr:cNvPr id="425" name="Text Box 1197"/>
        <xdr:cNvSpPr txBox="1">
          <a:spLocks noChangeArrowheads="1"/>
        </xdr:cNvSpPr>
      </xdr:nvSpPr>
      <xdr:spPr bwMode="auto">
        <a:xfrm>
          <a:off x="3048000" y="33213675"/>
          <a:ext cx="180975" cy="323850"/>
        </a:xfrm>
        <a:prstGeom prst="rect">
          <a:avLst/>
        </a:prstGeom>
        <a:solidFill>
          <a:srgbClr val="FFFF00"/>
        </a:solidFill>
        <a:ln w="9525">
          <a:noFill/>
          <a:miter lim="800000"/>
          <a:headEnd/>
          <a:tailEnd/>
        </a:ln>
        <a:effectLst/>
      </xdr:spPr>
    </xdr:sp>
    <xdr:clientData/>
  </xdr:twoCellAnchor>
  <xdr:twoCellAnchor>
    <xdr:from>
      <xdr:col>5</xdr:col>
      <xdr:colOff>371475</xdr:colOff>
      <xdr:row>132</xdr:row>
      <xdr:rowOff>142875</xdr:rowOff>
    </xdr:from>
    <xdr:to>
      <xdr:col>7</xdr:col>
      <xdr:colOff>276225</xdr:colOff>
      <xdr:row>134</xdr:row>
      <xdr:rowOff>47625</xdr:rowOff>
    </xdr:to>
    <xdr:sp macro="" textlink="">
      <xdr:nvSpPr>
        <xdr:cNvPr id="426" name="Freeform 1198"/>
        <xdr:cNvSpPr>
          <a:spLocks/>
        </xdr:cNvSpPr>
      </xdr:nvSpPr>
      <xdr:spPr bwMode="auto">
        <a:xfrm>
          <a:off x="2533650" y="33185100"/>
          <a:ext cx="552450" cy="400050"/>
        </a:xfrm>
        <a:custGeom>
          <a:avLst/>
          <a:gdLst/>
          <a:ahLst/>
          <a:cxnLst>
            <a:cxn ang="0">
              <a:pos x="52" y="0"/>
            </a:cxn>
            <a:cxn ang="0">
              <a:pos x="21" y="13"/>
            </a:cxn>
            <a:cxn ang="0">
              <a:pos x="1" y="17"/>
            </a:cxn>
            <a:cxn ang="0">
              <a:pos x="0" y="24"/>
            </a:cxn>
          </a:cxnLst>
          <a:rect l="0" t="0" r="r" b="b"/>
          <a:pathLst>
            <a:path w="58" h="24">
              <a:moveTo>
                <a:pt x="52" y="0"/>
              </a:moveTo>
              <a:cubicBezTo>
                <a:pt x="58" y="18"/>
                <a:pt x="34" y="12"/>
                <a:pt x="21" y="13"/>
              </a:cubicBezTo>
              <a:cubicBezTo>
                <a:pt x="15" y="17"/>
                <a:pt x="8" y="15"/>
                <a:pt x="1" y="17"/>
              </a:cubicBezTo>
              <a:cubicBezTo>
                <a:pt x="0" y="21"/>
                <a:pt x="0" y="19"/>
                <a:pt x="0" y="24"/>
              </a:cubicBezTo>
            </a:path>
          </a:pathLst>
        </a:custGeom>
        <a:noFill/>
        <a:ln w="9525" cap="flat" cmpd="sng">
          <a:solidFill>
            <a:srgbClr val="000000"/>
          </a:solidFill>
          <a:prstDash val="solid"/>
          <a:round/>
          <a:headEnd/>
          <a:tailEnd/>
        </a:ln>
        <a:effectLst/>
      </xdr:spPr>
    </xdr:sp>
    <xdr:clientData/>
  </xdr:twoCellAnchor>
  <xdr:twoCellAnchor>
    <xdr:from>
      <xdr:col>7</xdr:col>
      <xdr:colOff>409575</xdr:colOff>
      <xdr:row>132</xdr:row>
      <xdr:rowOff>161925</xdr:rowOff>
    </xdr:from>
    <xdr:to>
      <xdr:col>9</xdr:col>
      <xdr:colOff>19050</xdr:colOff>
      <xdr:row>134</xdr:row>
      <xdr:rowOff>9525</xdr:rowOff>
    </xdr:to>
    <xdr:sp macro="" textlink="">
      <xdr:nvSpPr>
        <xdr:cNvPr id="427" name="Freeform 1199"/>
        <xdr:cNvSpPr>
          <a:spLocks/>
        </xdr:cNvSpPr>
      </xdr:nvSpPr>
      <xdr:spPr bwMode="auto">
        <a:xfrm>
          <a:off x="3219450" y="33204150"/>
          <a:ext cx="600075" cy="342900"/>
        </a:xfrm>
        <a:custGeom>
          <a:avLst/>
          <a:gdLst/>
          <a:ahLst/>
          <a:cxnLst>
            <a:cxn ang="0">
              <a:pos x="0" y="0"/>
            </a:cxn>
            <a:cxn ang="0">
              <a:pos x="11" y="12"/>
            </a:cxn>
            <a:cxn ang="0">
              <a:pos x="31" y="11"/>
            </a:cxn>
            <a:cxn ang="0">
              <a:pos x="44" y="14"/>
            </a:cxn>
            <a:cxn ang="0">
              <a:pos x="47" y="18"/>
            </a:cxn>
          </a:cxnLst>
          <a:rect l="0" t="0" r="r" b="b"/>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cap="flat" cmpd="sng">
          <a:solidFill>
            <a:srgbClr val="000000"/>
          </a:solidFill>
          <a:prstDash val="solid"/>
          <a:round/>
          <a:headEnd/>
          <a:tailEnd/>
        </a:ln>
        <a:effectLst/>
      </xdr:spPr>
    </xdr:sp>
    <xdr:clientData/>
  </xdr:twoCellAnchor>
  <xdr:twoCellAnchor>
    <xdr:from>
      <xdr:col>5</xdr:col>
      <xdr:colOff>171450</xdr:colOff>
      <xdr:row>133</xdr:row>
      <xdr:rowOff>38100</xdr:rowOff>
    </xdr:from>
    <xdr:to>
      <xdr:col>7</xdr:col>
      <xdr:colOff>0</xdr:colOff>
      <xdr:row>137</xdr:row>
      <xdr:rowOff>76200</xdr:rowOff>
    </xdr:to>
    <xdr:sp macro="" textlink="">
      <xdr:nvSpPr>
        <xdr:cNvPr id="428" name="Freeform 1200"/>
        <xdr:cNvSpPr>
          <a:spLocks/>
        </xdr:cNvSpPr>
      </xdr:nvSpPr>
      <xdr:spPr bwMode="auto">
        <a:xfrm>
          <a:off x="2333625" y="33327975"/>
          <a:ext cx="476250" cy="1181100"/>
        </a:xfrm>
        <a:custGeom>
          <a:avLst/>
          <a:gdLst/>
          <a:ahLst/>
          <a:cxnLst>
            <a:cxn ang="0">
              <a:pos x="48" y="31"/>
            </a:cxn>
            <a:cxn ang="0">
              <a:pos x="49" y="73"/>
            </a:cxn>
            <a:cxn ang="0">
              <a:pos x="50" y="79"/>
            </a:cxn>
            <a:cxn ang="0">
              <a:pos x="49" y="72"/>
            </a:cxn>
            <a:cxn ang="0">
              <a:pos x="48" y="106"/>
            </a:cxn>
            <a:cxn ang="0">
              <a:pos x="28" y="114"/>
            </a:cxn>
            <a:cxn ang="0">
              <a:pos x="16" y="35"/>
            </a:cxn>
            <a:cxn ang="0">
              <a:pos x="20" y="19"/>
            </a:cxn>
            <a:cxn ang="0">
              <a:pos x="23" y="0"/>
            </a:cxn>
          </a:cxnLst>
          <a:rect l="0" t="0" r="r" b="b"/>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00FF00"/>
        </a:solidFill>
        <a:ln w="9525" cap="flat" cmpd="sng">
          <a:solidFill>
            <a:srgbClr val="000000"/>
          </a:solidFill>
          <a:prstDash val="solid"/>
          <a:round/>
          <a:headEnd/>
          <a:tailEnd/>
        </a:ln>
        <a:effectLst/>
      </xdr:spPr>
    </xdr:sp>
    <xdr:clientData/>
  </xdr:twoCellAnchor>
  <xdr:twoCellAnchor>
    <xdr:from>
      <xdr:col>6</xdr:col>
      <xdr:colOff>28575</xdr:colOff>
      <xdr:row>137</xdr:row>
      <xdr:rowOff>38100</xdr:rowOff>
    </xdr:from>
    <xdr:to>
      <xdr:col>6</xdr:col>
      <xdr:colOff>171450</xdr:colOff>
      <xdr:row>138</xdr:row>
      <xdr:rowOff>57150</xdr:rowOff>
    </xdr:to>
    <xdr:sp macro="" textlink="">
      <xdr:nvSpPr>
        <xdr:cNvPr id="429" name="Freeform 1201"/>
        <xdr:cNvSpPr>
          <a:spLocks/>
        </xdr:cNvSpPr>
      </xdr:nvSpPr>
      <xdr:spPr bwMode="auto">
        <a:xfrm>
          <a:off x="2571750" y="34470975"/>
          <a:ext cx="142875" cy="266700"/>
        </a:xfrm>
        <a:custGeom>
          <a:avLst/>
          <a:gdLst/>
          <a:ahLst/>
          <a:cxnLst>
            <a:cxn ang="0">
              <a:pos x="5" y="3"/>
            </a:cxn>
            <a:cxn ang="0">
              <a:pos x="8" y="25"/>
            </a:cxn>
            <a:cxn ang="0">
              <a:pos x="14" y="0"/>
            </a:cxn>
          </a:cxnLst>
          <a:rect l="0" t="0" r="r" b="b"/>
          <a:pathLst>
            <a:path w="14" h="26">
              <a:moveTo>
                <a:pt x="5" y="3"/>
              </a:moveTo>
              <a:cubicBezTo>
                <a:pt x="1" y="9"/>
                <a:pt x="0" y="22"/>
                <a:pt x="8" y="25"/>
              </a:cubicBezTo>
              <a:cubicBezTo>
                <a:pt x="10" y="6"/>
                <a:pt x="14" y="26"/>
                <a:pt x="14" y="0"/>
              </a:cubicBezTo>
            </a:path>
          </a:pathLst>
        </a:custGeom>
        <a:solidFill>
          <a:srgbClr val="FFCC00"/>
        </a:solidFill>
        <a:ln w="9525" cap="flat" cmpd="sng">
          <a:solidFill>
            <a:srgbClr val="000000"/>
          </a:solidFill>
          <a:prstDash val="solid"/>
          <a:round/>
          <a:headEnd/>
          <a:tailEnd/>
        </a:ln>
        <a:effectLst/>
      </xdr:spPr>
    </xdr:sp>
    <xdr:clientData/>
  </xdr:twoCellAnchor>
  <xdr:twoCellAnchor>
    <xdr:from>
      <xdr:col>6</xdr:col>
      <xdr:colOff>200025</xdr:colOff>
      <xdr:row>130</xdr:row>
      <xdr:rowOff>95250</xdr:rowOff>
    </xdr:from>
    <xdr:to>
      <xdr:col>8</xdr:col>
      <xdr:colOff>9525</xdr:colOff>
      <xdr:row>132</xdr:row>
      <xdr:rowOff>209550</xdr:rowOff>
    </xdr:to>
    <xdr:sp macro="" textlink="">
      <xdr:nvSpPr>
        <xdr:cNvPr id="430" name="Freeform 1202"/>
        <xdr:cNvSpPr>
          <a:spLocks/>
        </xdr:cNvSpPr>
      </xdr:nvSpPr>
      <xdr:spPr bwMode="auto">
        <a:xfrm>
          <a:off x="2743200" y="32642175"/>
          <a:ext cx="800100" cy="609600"/>
        </a:xfrm>
        <a:custGeom>
          <a:avLst/>
          <a:gdLst/>
          <a:ahLst/>
          <a:cxnLst>
            <a:cxn ang="0">
              <a:pos x="28" y="63"/>
            </a:cxn>
            <a:cxn ang="0">
              <a:pos x="10" y="58"/>
            </a:cxn>
            <a:cxn ang="0">
              <a:pos x="9" y="39"/>
            </a:cxn>
            <a:cxn ang="0">
              <a:pos x="12" y="22"/>
            </a:cxn>
            <a:cxn ang="0">
              <a:pos x="12" y="16"/>
            </a:cxn>
            <a:cxn ang="0">
              <a:pos x="18" y="12"/>
            </a:cxn>
            <a:cxn ang="0">
              <a:pos x="32" y="4"/>
            </a:cxn>
            <a:cxn ang="0">
              <a:pos x="38" y="5"/>
            </a:cxn>
            <a:cxn ang="0">
              <a:pos x="39" y="8"/>
            </a:cxn>
            <a:cxn ang="0">
              <a:pos x="44" y="4"/>
            </a:cxn>
            <a:cxn ang="0">
              <a:pos x="56" y="0"/>
            </a:cxn>
            <a:cxn ang="0">
              <a:pos x="60" y="5"/>
            </a:cxn>
            <a:cxn ang="0">
              <a:pos x="60" y="9"/>
            </a:cxn>
            <a:cxn ang="0">
              <a:pos x="67" y="16"/>
            </a:cxn>
            <a:cxn ang="0">
              <a:pos x="70" y="26"/>
            </a:cxn>
            <a:cxn ang="0">
              <a:pos x="76" y="44"/>
            </a:cxn>
            <a:cxn ang="0">
              <a:pos x="74" y="54"/>
            </a:cxn>
            <a:cxn ang="0">
              <a:pos x="69" y="59"/>
            </a:cxn>
            <a:cxn ang="0">
              <a:pos x="58" y="59"/>
            </a:cxn>
            <a:cxn ang="0">
              <a:pos x="60" y="41"/>
            </a:cxn>
            <a:cxn ang="0">
              <a:pos x="55" y="29"/>
            </a:cxn>
            <a:cxn ang="0">
              <a:pos x="47" y="16"/>
            </a:cxn>
            <a:cxn ang="0">
              <a:pos x="34" y="17"/>
            </a:cxn>
            <a:cxn ang="0">
              <a:pos x="23" y="23"/>
            </a:cxn>
            <a:cxn ang="0">
              <a:pos x="20" y="30"/>
            </a:cxn>
            <a:cxn ang="0">
              <a:pos x="17" y="37"/>
            </a:cxn>
            <a:cxn ang="0">
              <a:pos x="25" y="52"/>
            </a:cxn>
            <a:cxn ang="0">
              <a:pos x="26" y="61"/>
            </a:cxn>
            <a:cxn ang="0">
              <a:pos x="28" y="63"/>
            </a:cxn>
          </a:cxnLst>
          <a:rect l="0" t="0" r="r" b="b"/>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cap="flat" cmpd="sng">
          <a:solidFill>
            <a:srgbClr val="000000"/>
          </a:solidFill>
          <a:prstDash val="solid"/>
          <a:round/>
          <a:headEnd/>
          <a:tailEnd/>
        </a:ln>
        <a:effectLst/>
      </xdr:spPr>
    </xdr:sp>
    <xdr:clientData/>
  </xdr:twoCellAnchor>
  <xdr:twoCellAnchor>
    <xdr:from>
      <xdr:col>7</xdr:col>
      <xdr:colOff>200025</xdr:colOff>
      <xdr:row>131</xdr:row>
      <xdr:rowOff>104775</xdr:rowOff>
    </xdr:from>
    <xdr:to>
      <xdr:col>7</xdr:col>
      <xdr:colOff>266700</xdr:colOff>
      <xdr:row>131</xdr:row>
      <xdr:rowOff>228600</xdr:rowOff>
    </xdr:to>
    <xdr:sp macro="" textlink="">
      <xdr:nvSpPr>
        <xdr:cNvPr id="431" name="Freeform 1203"/>
        <xdr:cNvSpPr>
          <a:spLocks/>
        </xdr:cNvSpPr>
      </xdr:nvSpPr>
      <xdr:spPr bwMode="auto">
        <a:xfrm>
          <a:off x="3009900" y="32899350"/>
          <a:ext cx="66675" cy="123825"/>
        </a:xfrm>
        <a:custGeom>
          <a:avLst/>
          <a:gdLst/>
          <a:ahLst/>
          <a:cxnLst>
            <a:cxn ang="0">
              <a:pos x="0" y="10"/>
            </a:cxn>
            <a:cxn ang="0">
              <a:pos x="7" y="7"/>
            </a:cxn>
            <a:cxn ang="0">
              <a:pos x="0" y="10"/>
            </a:cxn>
          </a:cxnLst>
          <a:rect l="0" t="0" r="r" b="b"/>
          <a:pathLst>
            <a:path w="7" h="13">
              <a:moveTo>
                <a:pt x="0" y="10"/>
              </a:moveTo>
              <a:cubicBezTo>
                <a:pt x="1" y="2"/>
                <a:pt x="3" y="0"/>
                <a:pt x="7" y="7"/>
              </a:cubicBezTo>
              <a:cubicBezTo>
                <a:pt x="6" y="13"/>
                <a:pt x="7" y="11"/>
                <a:pt x="0" y="10"/>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7</xdr:col>
      <xdr:colOff>352425</xdr:colOff>
      <xdr:row>131</xdr:row>
      <xdr:rowOff>104775</xdr:rowOff>
    </xdr:from>
    <xdr:to>
      <xdr:col>7</xdr:col>
      <xdr:colOff>419100</xdr:colOff>
      <xdr:row>131</xdr:row>
      <xdr:rowOff>228600</xdr:rowOff>
    </xdr:to>
    <xdr:sp macro="" textlink="">
      <xdr:nvSpPr>
        <xdr:cNvPr id="432" name="Freeform 1204"/>
        <xdr:cNvSpPr>
          <a:spLocks/>
        </xdr:cNvSpPr>
      </xdr:nvSpPr>
      <xdr:spPr bwMode="auto">
        <a:xfrm>
          <a:off x="3162300" y="32899350"/>
          <a:ext cx="66675" cy="123825"/>
        </a:xfrm>
        <a:custGeom>
          <a:avLst/>
          <a:gdLst/>
          <a:ahLst/>
          <a:cxnLst>
            <a:cxn ang="0">
              <a:pos x="0" y="10"/>
            </a:cxn>
            <a:cxn ang="0">
              <a:pos x="7" y="7"/>
            </a:cxn>
            <a:cxn ang="0">
              <a:pos x="0" y="10"/>
            </a:cxn>
          </a:cxnLst>
          <a:rect l="0" t="0" r="r" b="b"/>
          <a:pathLst>
            <a:path w="7" h="13">
              <a:moveTo>
                <a:pt x="0" y="10"/>
              </a:moveTo>
              <a:cubicBezTo>
                <a:pt x="1" y="2"/>
                <a:pt x="3" y="0"/>
                <a:pt x="7" y="7"/>
              </a:cubicBezTo>
              <a:cubicBezTo>
                <a:pt x="6" y="13"/>
                <a:pt x="7" y="11"/>
                <a:pt x="0" y="10"/>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7</xdr:col>
      <xdr:colOff>171450</xdr:colOff>
      <xdr:row>131</xdr:row>
      <xdr:rowOff>76200</xdr:rowOff>
    </xdr:from>
    <xdr:to>
      <xdr:col>7</xdr:col>
      <xdr:colOff>266700</xdr:colOff>
      <xdr:row>131</xdr:row>
      <xdr:rowOff>114300</xdr:rowOff>
    </xdr:to>
    <xdr:sp macro="" textlink="">
      <xdr:nvSpPr>
        <xdr:cNvPr id="433" name="Freeform 1205"/>
        <xdr:cNvSpPr>
          <a:spLocks/>
        </xdr:cNvSpPr>
      </xdr:nvSpPr>
      <xdr:spPr bwMode="auto">
        <a:xfrm>
          <a:off x="2981325" y="32870775"/>
          <a:ext cx="95250" cy="38100"/>
        </a:xfrm>
        <a:custGeom>
          <a:avLst/>
          <a:gdLst/>
          <a:ahLst/>
          <a:cxnLst>
            <a:cxn ang="0">
              <a:pos x="10" y="1"/>
            </a:cxn>
            <a:cxn ang="0">
              <a:pos x="0" y="4"/>
            </a:cxn>
          </a:cxnLst>
          <a:rect l="0" t="0" r="r" b="b"/>
          <a:pathLst>
            <a:path w="10" h="4">
              <a:moveTo>
                <a:pt x="10" y="1"/>
              </a:moveTo>
              <a:cubicBezTo>
                <a:pt x="1" y="2"/>
                <a:pt x="4" y="0"/>
                <a:pt x="0" y="4"/>
              </a:cubicBezTo>
            </a:path>
          </a:pathLst>
        </a:custGeom>
        <a:noFill/>
        <a:ln w="19050" cap="flat" cmpd="sng">
          <a:solidFill>
            <a:srgbClr val="000000"/>
          </a:solidFill>
          <a:prstDash val="solid"/>
          <a:round/>
          <a:headEnd type="none" w="med" len="med"/>
          <a:tailEnd type="none" w="med" len="med"/>
        </a:ln>
        <a:effectLst/>
      </xdr:spPr>
    </xdr:sp>
    <xdr:clientData/>
  </xdr:twoCellAnchor>
  <xdr:twoCellAnchor>
    <xdr:from>
      <xdr:col>7</xdr:col>
      <xdr:colOff>352425</xdr:colOff>
      <xdr:row>131</xdr:row>
      <xdr:rowOff>76200</xdr:rowOff>
    </xdr:from>
    <xdr:to>
      <xdr:col>7</xdr:col>
      <xdr:colOff>438150</xdr:colOff>
      <xdr:row>131</xdr:row>
      <xdr:rowOff>85725</xdr:rowOff>
    </xdr:to>
    <xdr:sp macro="" textlink="">
      <xdr:nvSpPr>
        <xdr:cNvPr id="434" name="Freeform 1206"/>
        <xdr:cNvSpPr>
          <a:spLocks/>
        </xdr:cNvSpPr>
      </xdr:nvSpPr>
      <xdr:spPr bwMode="auto">
        <a:xfrm>
          <a:off x="3162300" y="32870775"/>
          <a:ext cx="85725" cy="9525"/>
        </a:xfrm>
        <a:custGeom>
          <a:avLst/>
          <a:gdLst/>
          <a:ahLst/>
          <a:cxnLst>
            <a:cxn ang="0">
              <a:pos x="0" y="0"/>
            </a:cxn>
            <a:cxn ang="0">
              <a:pos x="9" y="1"/>
            </a:cxn>
          </a:cxnLst>
          <a:rect l="0" t="0" r="r" b="b"/>
          <a:pathLst>
            <a:path w="9" h="1">
              <a:moveTo>
                <a:pt x="0" y="0"/>
              </a:moveTo>
              <a:cubicBezTo>
                <a:pt x="8" y="1"/>
                <a:pt x="5" y="1"/>
                <a:pt x="9" y="1"/>
              </a:cubicBezTo>
            </a:path>
          </a:pathLst>
        </a:custGeom>
        <a:noFill/>
        <a:ln w="19050" cap="flat" cmpd="sng">
          <a:solidFill>
            <a:srgbClr val="000000"/>
          </a:solidFill>
          <a:prstDash val="solid"/>
          <a:round/>
          <a:headEnd type="none" w="med" len="med"/>
          <a:tailEnd type="none" w="med" len="med"/>
        </a:ln>
        <a:effectLst/>
      </xdr:spPr>
    </xdr:sp>
    <xdr:clientData/>
  </xdr:twoCellAnchor>
  <xdr:twoCellAnchor>
    <xdr:from>
      <xdr:col>7</xdr:col>
      <xdr:colOff>247650</xdr:colOff>
      <xdr:row>132</xdr:row>
      <xdr:rowOff>66675</xdr:rowOff>
    </xdr:from>
    <xdr:to>
      <xdr:col>7</xdr:col>
      <xdr:colOff>409575</xdr:colOff>
      <xdr:row>132</xdr:row>
      <xdr:rowOff>114300</xdr:rowOff>
    </xdr:to>
    <xdr:sp macro="" textlink="">
      <xdr:nvSpPr>
        <xdr:cNvPr id="435" name="Freeform 1207"/>
        <xdr:cNvSpPr>
          <a:spLocks/>
        </xdr:cNvSpPr>
      </xdr:nvSpPr>
      <xdr:spPr bwMode="auto">
        <a:xfrm>
          <a:off x="3057525" y="33108900"/>
          <a:ext cx="161925" cy="47625"/>
        </a:xfrm>
        <a:custGeom>
          <a:avLst/>
          <a:gdLst/>
          <a:ahLst/>
          <a:cxnLst>
            <a:cxn ang="0">
              <a:pos x="0" y="1"/>
            </a:cxn>
            <a:cxn ang="0">
              <a:pos x="9" y="5"/>
            </a:cxn>
            <a:cxn ang="0">
              <a:pos x="10" y="1"/>
            </a:cxn>
            <a:cxn ang="0">
              <a:pos x="0" y="1"/>
            </a:cxn>
          </a:cxnLst>
          <a:rect l="0" t="0" r="r" b="b"/>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7</xdr:col>
      <xdr:colOff>295275</xdr:colOff>
      <xdr:row>131</xdr:row>
      <xdr:rowOff>200025</xdr:rowOff>
    </xdr:from>
    <xdr:to>
      <xdr:col>7</xdr:col>
      <xdr:colOff>323850</xdr:colOff>
      <xdr:row>132</xdr:row>
      <xdr:rowOff>104775</xdr:rowOff>
    </xdr:to>
    <xdr:sp macro="" textlink="">
      <xdr:nvSpPr>
        <xdr:cNvPr id="436" name="Freeform 1208"/>
        <xdr:cNvSpPr>
          <a:spLocks/>
        </xdr:cNvSpPr>
      </xdr:nvSpPr>
      <xdr:spPr bwMode="auto">
        <a:xfrm>
          <a:off x="3105150" y="32994600"/>
          <a:ext cx="28575" cy="152400"/>
        </a:xfrm>
        <a:custGeom>
          <a:avLst/>
          <a:gdLst/>
          <a:ahLst/>
          <a:cxnLst>
            <a:cxn ang="0">
              <a:pos x="0" y="0"/>
            </a:cxn>
            <a:cxn ang="0">
              <a:pos x="0" y="0"/>
            </a:cxn>
          </a:cxnLst>
          <a:rect l="0" t="0" r="r" b="b"/>
          <a:pathLst>
            <a:path w="3" h="16">
              <a:moveTo>
                <a:pt x="0" y="0"/>
              </a:moveTo>
              <a:cubicBezTo>
                <a:pt x="2" y="16"/>
                <a:pt x="3" y="6"/>
                <a:pt x="0" y="0"/>
              </a:cubicBezTo>
              <a:close/>
            </a:path>
          </a:pathLst>
        </a:custGeom>
        <a:solidFill>
          <a:srgbClr val="FFCC00"/>
        </a:solidFill>
        <a:ln w="9525" cap="flat" cmpd="sng">
          <a:solidFill>
            <a:srgbClr val="000000"/>
          </a:solidFill>
          <a:prstDash val="solid"/>
          <a:round/>
          <a:headEnd/>
          <a:tailEnd/>
        </a:ln>
        <a:effectLst/>
      </xdr:spPr>
    </xdr:sp>
    <xdr:clientData/>
  </xdr:twoCellAnchor>
  <xdr:twoCellAnchor>
    <xdr:from>
      <xdr:col>8</xdr:col>
      <xdr:colOff>95250</xdr:colOff>
      <xdr:row>136</xdr:row>
      <xdr:rowOff>352425</xdr:rowOff>
    </xdr:from>
    <xdr:to>
      <xdr:col>9</xdr:col>
      <xdr:colOff>114300</xdr:colOff>
      <xdr:row>138</xdr:row>
      <xdr:rowOff>19050</xdr:rowOff>
    </xdr:to>
    <xdr:sp macro="" textlink="">
      <xdr:nvSpPr>
        <xdr:cNvPr id="437" name="Freeform 1209"/>
        <xdr:cNvSpPr>
          <a:spLocks/>
        </xdr:cNvSpPr>
      </xdr:nvSpPr>
      <xdr:spPr bwMode="auto">
        <a:xfrm>
          <a:off x="3629025" y="34432875"/>
          <a:ext cx="285750" cy="266700"/>
        </a:xfrm>
        <a:custGeom>
          <a:avLst/>
          <a:gdLst/>
          <a:ahLst/>
          <a:cxnLst>
            <a:cxn ang="0">
              <a:pos x="0" y="4"/>
            </a:cxn>
            <a:cxn ang="0">
              <a:pos x="6" y="21"/>
            </a:cxn>
            <a:cxn ang="0">
              <a:pos x="12" y="29"/>
            </a:cxn>
            <a:cxn ang="0">
              <a:pos x="10" y="0"/>
            </a:cxn>
          </a:cxnLst>
          <a:rect l="0" t="0" r="r" b="b"/>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cap="flat" cmpd="sng">
          <a:solidFill>
            <a:srgbClr val="000000"/>
          </a:solidFill>
          <a:prstDash val="solid"/>
          <a:round/>
          <a:headEnd/>
          <a:tailEnd/>
        </a:ln>
        <a:effectLst/>
      </xdr:spPr>
    </xdr:sp>
    <xdr:clientData/>
  </xdr:twoCellAnchor>
  <xdr:twoCellAnchor>
    <xdr:from>
      <xdr:col>7</xdr:col>
      <xdr:colOff>209550</xdr:colOff>
      <xdr:row>131</xdr:row>
      <xdr:rowOff>123825</xdr:rowOff>
    </xdr:from>
    <xdr:to>
      <xdr:col>7</xdr:col>
      <xdr:colOff>304800</xdr:colOff>
      <xdr:row>131</xdr:row>
      <xdr:rowOff>200025</xdr:rowOff>
    </xdr:to>
    <xdr:sp macro="" textlink="">
      <xdr:nvSpPr>
        <xdr:cNvPr id="438" name="Freeform 1210"/>
        <xdr:cNvSpPr>
          <a:spLocks/>
        </xdr:cNvSpPr>
      </xdr:nvSpPr>
      <xdr:spPr bwMode="auto">
        <a:xfrm>
          <a:off x="3019425" y="32918400"/>
          <a:ext cx="95250" cy="76200"/>
        </a:xfrm>
        <a:custGeom>
          <a:avLst/>
          <a:gdLst/>
          <a:ahLst/>
          <a:cxnLst>
            <a:cxn ang="0">
              <a:pos x="0" y="6"/>
            </a:cxn>
            <a:cxn ang="0">
              <a:pos x="3" y="4"/>
            </a:cxn>
            <a:cxn ang="0">
              <a:pos x="1" y="7"/>
            </a:cxn>
            <a:cxn ang="0">
              <a:pos x="4" y="6"/>
            </a:cxn>
            <a:cxn ang="0">
              <a:pos x="0" y="6"/>
            </a:cxn>
          </a:cxnLst>
          <a:rect l="0" t="0" r="r" b="b"/>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7</xdr:col>
      <xdr:colOff>361950</xdr:colOff>
      <xdr:row>131</xdr:row>
      <xdr:rowOff>133350</xdr:rowOff>
    </xdr:from>
    <xdr:to>
      <xdr:col>7</xdr:col>
      <xdr:colOff>457200</xdr:colOff>
      <xdr:row>131</xdr:row>
      <xdr:rowOff>209550</xdr:rowOff>
    </xdr:to>
    <xdr:sp macro="" textlink="">
      <xdr:nvSpPr>
        <xdr:cNvPr id="439" name="Freeform 1211"/>
        <xdr:cNvSpPr>
          <a:spLocks/>
        </xdr:cNvSpPr>
      </xdr:nvSpPr>
      <xdr:spPr bwMode="auto">
        <a:xfrm>
          <a:off x="3171825" y="32927925"/>
          <a:ext cx="95250" cy="76200"/>
        </a:xfrm>
        <a:custGeom>
          <a:avLst/>
          <a:gdLst/>
          <a:ahLst/>
          <a:cxnLst>
            <a:cxn ang="0">
              <a:pos x="0" y="6"/>
            </a:cxn>
            <a:cxn ang="0">
              <a:pos x="3" y="4"/>
            </a:cxn>
            <a:cxn ang="0">
              <a:pos x="1" y="7"/>
            </a:cxn>
            <a:cxn ang="0">
              <a:pos x="4" y="6"/>
            </a:cxn>
            <a:cxn ang="0">
              <a:pos x="0" y="6"/>
            </a:cxn>
          </a:cxnLst>
          <a:rect l="0" t="0" r="r" b="b"/>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6</xdr:col>
      <xdr:colOff>209550</xdr:colOff>
      <xdr:row>137</xdr:row>
      <xdr:rowOff>114300</xdr:rowOff>
    </xdr:from>
    <xdr:to>
      <xdr:col>9</xdr:col>
      <xdr:colOff>9525</xdr:colOff>
      <xdr:row>142</xdr:row>
      <xdr:rowOff>209550</xdr:rowOff>
    </xdr:to>
    <xdr:sp macro="" textlink="">
      <xdr:nvSpPr>
        <xdr:cNvPr id="440" name="Freeform 1212"/>
        <xdr:cNvSpPr>
          <a:spLocks/>
        </xdr:cNvSpPr>
      </xdr:nvSpPr>
      <xdr:spPr bwMode="auto">
        <a:xfrm>
          <a:off x="2752725" y="34547175"/>
          <a:ext cx="1057275" cy="1333500"/>
        </a:xfrm>
        <a:custGeom>
          <a:avLst/>
          <a:gdLst/>
          <a:ahLst/>
          <a:cxnLst>
            <a:cxn ang="0">
              <a:pos x="7" y="0"/>
            </a:cxn>
            <a:cxn ang="0">
              <a:pos x="1" y="28"/>
            </a:cxn>
            <a:cxn ang="0">
              <a:pos x="5" y="67"/>
            </a:cxn>
            <a:cxn ang="0">
              <a:pos x="4" y="102"/>
            </a:cxn>
            <a:cxn ang="0">
              <a:pos x="0" y="108"/>
            </a:cxn>
            <a:cxn ang="0">
              <a:pos x="10" y="124"/>
            </a:cxn>
            <a:cxn ang="0">
              <a:pos x="22" y="121"/>
            </a:cxn>
            <a:cxn ang="0">
              <a:pos x="33" y="127"/>
            </a:cxn>
            <a:cxn ang="0">
              <a:pos x="39" y="104"/>
            </a:cxn>
            <a:cxn ang="0">
              <a:pos x="43" y="88"/>
            </a:cxn>
            <a:cxn ang="0">
              <a:pos x="44" y="84"/>
            </a:cxn>
            <a:cxn ang="0">
              <a:pos x="43" y="45"/>
            </a:cxn>
            <a:cxn ang="0">
              <a:pos x="44" y="56"/>
            </a:cxn>
            <a:cxn ang="0">
              <a:pos x="47" y="58"/>
            </a:cxn>
            <a:cxn ang="0">
              <a:pos x="53" y="85"/>
            </a:cxn>
            <a:cxn ang="0">
              <a:pos x="65" y="127"/>
            </a:cxn>
            <a:cxn ang="0">
              <a:pos x="85" y="120"/>
            </a:cxn>
            <a:cxn ang="0">
              <a:pos x="95" y="116"/>
            </a:cxn>
            <a:cxn ang="0">
              <a:pos x="91" y="82"/>
            </a:cxn>
            <a:cxn ang="0">
              <a:pos x="87" y="65"/>
            </a:cxn>
            <a:cxn ang="0">
              <a:pos x="80" y="42"/>
            </a:cxn>
            <a:cxn ang="0">
              <a:pos x="75" y="30"/>
            </a:cxn>
            <a:cxn ang="0">
              <a:pos x="72" y="2"/>
            </a:cxn>
          </a:cxnLst>
          <a:rect l="0" t="0" r="r" b="b"/>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FF9900"/>
        </a:solidFill>
        <a:ln w="9525" cap="flat" cmpd="sng">
          <a:solidFill>
            <a:srgbClr val="000000"/>
          </a:solidFill>
          <a:prstDash val="solid"/>
          <a:round/>
          <a:headEnd/>
          <a:tailEnd/>
        </a:ln>
        <a:effectLst/>
      </xdr:spPr>
    </xdr:sp>
    <xdr:clientData/>
  </xdr:twoCellAnchor>
  <xdr:twoCellAnchor>
    <xdr:from>
      <xdr:col>7</xdr:col>
      <xdr:colOff>47625</xdr:colOff>
      <xdr:row>138</xdr:row>
      <xdr:rowOff>28575</xdr:rowOff>
    </xdr:from>
    <xdr:to>
      <xdr:col>7</xdr:col>
      <xdr:colOff>238125</xdr:colOff>
      <xdr:row>139</xdr:row>
      <xdr:rowOff>0</xdr:rowOff>
    </xdr:to>
    <xdr:sp macro="" textlink="">
      <xdr:nvSpPr>
        <xdr:cNvPr id="441" name="Freeform 1213"/>
        <xdr:cNvSpPr>
          <a:spLocks/>
        </xdr:cNvSpPr>
      </xdr:nvSpPr>
      <xdr:spPr bwMode="auto">
        <a:xfrm>
          <a:off x="2857500" y="34709100"/>
          <a:ext cx="190500" cy="219075"/>
        </a:xfrm>
        <a:custGeom>
          <a:avLst/>
          <a:gdLst/>
          <a:ahLst/>
          <a:cxnLst>
            <a:cxn ang="0">
              <a:pos x="4" y="11"/>
            </a:cxn>
            <a:cxn ang="0">
              <a:pos x="15" y="21"/>
            </a:cxn>
            <a:cxn ang="0">
              <a:pos x="15" y="0"/>
            </a:cxn>
            <a:cxn ang="0">
              <a:pos x="4" y="11"/>
            </a:cxn>
          </a:cxnLst>
          <a:rect l="0" t="0" r="r" b="b"/>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7</xdr:col>
      <xdr:colOff>419100</xdr:colOff>
      <xdr:row>138</xdr:row>
      <xdr:rowOff>19050</xdr:rowOff>
    </xdr:from>
    <xdr:to>
      <xdr:col>7</xdr:col>
      <xdr:colOff>609600</xdr:colOff>
      <xdr:row>138</xdr:row>
      <xdr:rowOff>238125</xdr:rowOff>
    </xdr:to>
    <xdr:sp macro="" textlink="">
      <xdr:nvSpPr>
        <xdr:cNvPr id="442" name="Freeform 1214"/>
        <xdr:cNvSpPr>
          <a:spLocks/>
        </xdr:cNvSpPr>
      </xdr:nvSpPr>
      <xdr:spPr bwMode="auto">
        <a:xfrm>
          <a:off x="3228975" y="34699575"/>
          <a:ext cx="190500" cy="219075"/>
        </a:xfrm>
        <a:custGeom>
          <a:avLst/>
          <a:gdLst/>
          <a:ahLst/>
          <a:cxnLst>
            <a:cxn ang="0">
              <a:pos x="4" y="11"/>
            </a:cxn>
            <a:cxn ang="0">
              <a:pos x="15" y="21"/>
            </a:cxn>
            <a:cxn ang="0">
              <a:pos x="15" y="0"/>
            </a:cxn>
            <a:cxn ang="0">
              <a:pos x="4" y="11"/>
            </a:cxn>
          </a:cxnLst>
          <a:rect l="0" t="0" r="r" b="b"/>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5</xdr:col>
      <xdr:colOff>352425</xdr:colOff>
      <xdr:row>142</xdr:row>
      <xdr:rowOff>123825</xdr:rowOff>
    </xdr:from>
    <xdr:to>
      <xdr:col>7</xdr:col>
      <xdr:colOff>285750</xdr:colOff>
      <xdr:row>144</xdr:row>
      <xdr:rowOff>238125</xdr:rowOff>
    </xdr:to>
    <xdr:sp macro="" textlink="">
      <xdr:nvSpPr>
        <xdr:cNvPr id="443" name="Freeform 1215"/>
        <xdr:cNvSpPr>
          <a:spLocks/>
        </xdr:cNvSpPr>
      </xdr:nvSpPr>
      <xdr:spPr bwMode="auto">
        <a:xfrm>
          <a:off x="2514600" y="35794950"/>
          <a:ext cx="581025" cy="609600"/>
        </a:xfrm>
        <a:custGeom>
          <a:avLst/>
          <a:gdLst/>
          <a:ahLst/>
          <a:cxnLst>
            <a:cxn ang="0">
              <a:pos x="34" y="0"/>
            </a:cxn>
            <a:cxn ang="0">
              <a:pos x="28" y="25"/>
            </a:cxn>
            <a:cxn ang="0">
              <a:pos x="8" y="48"/>
            </a:cxn>
            <a:cxn ang="0">
              <a:pos x="0" y="57"/>
            </a:cxn>
            <a:cxn ang="0">
              <a:pos x="14" y="64"/>
            </a:cxn>
            <a:cxn ang="0">
              <a:pos x="39" y="56"/>
            </a:cxn>
            <a:cxn ang="0">
              <a:pos x="54" y="60"/>
            </a:cxn>
            <a:cxn ang="0">
              <a:pos x="56" y="5"/>
            </a:cxn>
          </a:cxnLst>
          <a:rect l="0" t="0" r="r" b="b"/>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800000"/>
        </a:solidFill>
        <a:ln w="9525" cap="flat" cmpd="sng">
          <a:solidFill>
            <a:srgbClr val="000000"/>
          </a:solidFill>
          <a:prstDash val="solid"/>
          <a:round/>
          <a:headEnd/>
          <a:tailEnd/>
        </a:ln>
        <a:effectLst/>
      </xdr:spPr>
    </xdr:sp>
    <xdr:clientData/>
  </xdr:twoCellAnchor>
  <xdr:twoCellAnchor>
    <xdr:from>
      <xdr:col>7</xdr:col>
      <xdr:colOff>590550</xdr:colOff>
      <xdr:row>142</xdr:row>
      <xdr:rowOff>142875</xdr:rowOff>
    </xdr:from>
    <xdr:to>
      <xdr:col>9</xdr:col>
      <xdr:colOff>371475</xdr:colOff>
      <xdr:row>144</xdr:row>
      <xdr:rowOff>209550</xdr:rowOff>
    </xdr:to>
    <xdr:sp macro="" textlink="">
      <xdr:nvSpPr>
        <xdr:cNvPr id="444" name="Freeform 1216"/>
        <xdr:cNvSpPr>
          <a:spLocks/>
        </xdr:cNvSpPr>
      </xdr:nvSpPr>
      <xdr:spPr bwMode="auto">
        <a:xfrm>
          <a:off x="3400425" y="35814000"/>
          <a:ext cx="771525" cy="561975"/>
        </a:xfrm>
        <a:custGeom>
          <a:avLst/>
          <a:gdLst/>
          <a:ahLst/>
          <a:cxnLst>
            <a:cxn ang="0">
              <a:pos x="0" y="5"/>
            </a:cxn>
            <a:cxn ang="0">
              <a:pos x="4" y="11"/>
            </a:cxn>
            <a:cxn ang="0">
              <a:pos x="5" y="25"/>
            </a:cxn>
            <a:cxn ang="0">
              <a:pos x="6" y="28"/>
            </a:cxn>
            <a:cxn ang="0">
              <a:pos x="9" y="49"/>
            </a:cxn>
            <a:cxn ang="0">
              <a:pos x="18" y="53"/>
            </a:cxn>
            <a:cxn ang="0">
              <a:pos x="34" y="52"/>
            </a:cxn>
            <a:cxn ang="0">
              <a:pos x="43" y="56"/>
            </a:cxn>
            <a:cxn ang="0">
              <a:pos x="56" y="55"/>
            </a:cxn>
            <a:cxn ang="0">
              <a:pos x="62" y="51"/>
            </a:cxn>
            <a:cxn ang="0">
              <a:pos x="36" y="25"/>
            </a:cxn>
            <a:cxn ang="0">
              <a:pos x="26" y="14"/>
            </a:cxn>
            <a:cxn ang="0">
              <a:pos x="24" y="0"/>
            </a:cxn>
          </a:cxnLst>
          <a:rect l="0" t="0" r="r" b="b"/>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800000"/>
        </a:solidFill>
        <a:ln w="9525" cap="flat" cmpd="sng">
          <a:solidFill>
            <a:srgbClr val="000000"/>
          </a:solidFill>
          <a:prstDash val="solid"/>
          <a:round/>
          <a:headEnd/>
          <a:tailEnd/>
        </a:ln>
        <a:effectLst/>
      </xdr:spPr>
    </xdr:sp>
    <xdr:clientData/>
  </xdr:twoCellAnchor>
  <xdr:twoCellAnchor>
    <xdr:from>
      <xdr:col>7</xdr:col>
      <xdr:colOff>114300</xdr:colOff>
      <xdr:row>140</xdr:row>
      <xdr:rowOff>95250</xdr:rowOff>
    </xdr:from>
    <xdr:to>
      <xdr:col>7</xdr:col>
      <xdr:colOff>266700</xdr:colOff>
      <xdr:row>141</xdr:row>
      <xdr:rowOff>104775</xdr:rowOff>
    </xdr:to>
    <xdr:sp macro="" textlink="">
      <xdr:nvSpPr>
        <xdr:cNvPr id="445" name="Oval 1217"/>
        <xdr:cNvSpPr>
          <a:spLocks noChangeArrowheads="1"/>
        </xdr:cNvSpPr>
      </xdr:nvSpPr>
      <xdr:spPr bwMode="auto">
        <a:xfrm>
          <a:off x="2924175" y="35271075"/>
          <a:ext cx="152400" cy="257175"/>
        </a:xfrm>
        <a:prstGeom prst="ellipse">
          <a:avLst/>
        </a:prstGeom>
        <a:solidFill>
          <a:srgbClr val="FFCC00"/>
        </a:solidFill>
        <a:ln w="9525">
          <a:solidFill>
            <a:srgbClr val="000000"/>
          </a:solidFill>
          <a:round/>
          <a:headEnd/>
          <a:tailEnd/>
        </a:ln>
        <a:effectLst/>
      </xdr:spPr>
    </xdr:sp>
    <xdr:clientData/>
  </xdr:twoCellAnchor>
  <xdr:twoCellAnchor>
    <xdr:from>
      <xdr:col>7</xdr:col>
      <xdr:colOff>561975</xdr:colOff>
      <xdr:row>140</xdr:row>
      <xdr:rowOff>85725</xdr:rowOff>
    </xdr:from>
    <xdr:to>
      <xdr:col>8</xdr:col>
      <xdr:colOff>66675</xdr:colOff>
      <xdr:row>141</xdr:row>
      <xdr:rowOff>95250</xdr:rowOff>
    </xdr:to>
    <xdr:sp macro="" textlink="">
      <xdr:nvSpPr>
        <xdr:cNvPr id="446" name="Oval 1218"/>
        <xdr:cNvSpPr>
          <a:spLocks noChangeArrowheads="1"/>
        </xdr:cNvSpPr>
      </xdr:nvSpPr>
      <xdr:spPr bwMode="auto">
        <a:xfrm>
          <a:off x="3371850" y="35261550"/>
          <a:ext cx="228600" cy="257175"/>
        </a:xfrm>
        <a:prstGeom prst="ellipse">
          <a:avLst/>
        </a:prstGeom>
        <a:solidFill>
          <a:srgbClr val="FFCC00"/>
        </a:solidFill>
        <a:ln w="9525">
          <a:solidFill>
            <a:srgbClr val="000000"/>
          </a:solidFill>
          <a:round/>
          <a:headEnd/>
          <a:tailEnd/>
        </a:ln>
        <a:effectLst/>
      </xdr:spPr>
    </xdr:sp>
    <xdr:clientData/>
  </xdr:twoCellAnchor>
  <xdr:twoCellAnchor>
    <xdr:from>
      <xdr:col>8</xdr:col>
      <xdr:colOff>228600</xdr:colOff>
      <xdr:row>130</xdr:row>
      <xdr:rowOff>114300</xdr:rowOff>
    </xdr:from>
    <xdr:to>
      <xdr:col>10</xdr:col>
      <xdr:colOff>28575</xdr:colOff>
      <xdr:row>137</xdr:row>
      <xdr:rowOff>142875</xdr:rowOff>
    </xdr:to>
    <xdr:sp macro="" textlink="">
      <xdr:nvSpPr>
        <xdr:cNvPr id="447" name="Freeform 1219"/>
        <xdr:cNvSpPr>
          <a:spLocks/>
        </xdr:cNvSpPr>
      </xdr:nvSpPr>
      <xdr:spPr bwMode="auto">
        <a:xfrm>
          <a:off x="3762375" y="32661225"/>
          <a:ext cx="466725" cy="1914525"/>
        </a:xfrm>
        <a:custGeom>
          <a:avLst/>
          <a:gdLst/>
          <a:ahLst/>
          <a:cxnLst>
            <a:cxn ang="0">
              <a:pos x="0" y="5"/>
            </a:cxn>
            <a:cxn ang="0">
              <a:pos x="25" y="11"/>
            </a:cxn>
            <a:cxn ang="0">
              <a:pos x="32" y="27"/>
            </a:cxn>
            <a:cxn ang="0">
              <a:pos x="31" y="53"/>
            </a:cxn>
            <a:cxn ang="0">
              <a:pos x="29" y="61"/>
            </a:cxn>
            <a:cxn ang="0">
              <a:pos x="60" y="94"/>
            </a:cxn>
            <a:cxn ang="0">
              <a:pos x="73" y="103"/>
            </a:cxn>
            <a:cxn ang="0">
              <a:pos x="76" y="106"/>
            </a:cxn>
            <a:cxn ang="0">
              <a:pos x="81" y="118"/>
            </a:cxn>
            <a:cxn ang="0">
              <a:pos x="67" y="149"/>
            </a:cxn>
            <a:cxn ang="0">
              <a:pos x="35" y="170"/>
            </a:cxn>
            <a:cxn ang="0">
              <a:pos x="58" y="183"/>
            </a:cxn>
            <a:cxn ang="0">
              <a:pos x="61" y="191"/>
            </a:cxn>
            <a:cxn ang="0">
              <a:pos x="26" y="184"/>
            </a:cxn>
            <a:cxn ang="0">
              <a:pos x="27" y="173"/>
            </a:cxn>
            <a:cxn ang="0">
              <a:pos x="63" y="153"/>
            </a:cxn>
            <a:cxn ang="0">
              <a:pos x="75" y="142"/>
            </a:cxn>
            <a:cxn ang="0">
              <a:pos x="65" y="103"/>
            </a:cxn>
            <a:cxn ang="0">
              <a:pos x="48" y="98"/>
            </a:cxn>
            <a:cxn ang="0">
              <a:pos x="37" y="93"/>
            </a:cxn>
            <a:cxn ang="0">
              <a:pos x="26" y="78"/>
            </a:cxn>
            <a:cxn ang="0">
              <a:pos x="20" y="17"/>
            </a:cxn>
            <a:cxn ang="0">
              <a:pos x="12" y="4"/>
            </a:cxn>
            <a:cxn ang="0">
              <a:pos x="0" y="5"/>
            </a:cxn>
          </a:cxnLst>
          <a:rect l="0" t="0" r="r" b="b"/>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9</xdr:col>
      <xdr:colOff>28575</xdr:colOff>
      <xdr:row>136</xdr:row>
      <xdr:rowOff>180975</xdr:rowOff>
    </xdr:from>
    <xdr:to>
      <xdr:col>9</xdr:col>
      <xdr:colOff>342900</xdr:colOff>
      <xdr:row>144</xdr:row>
      <xdr:rowOff>0</xdr:rowOff>
    </xdr:to>
    <xdr:sp macro="" textlink="">
      <xdr:nvSpPr>
        <xdr:cNvPr id="448" name="Freeform 1220"/>
        <xdr:cNvSpPr>
          <a:spLocks/>
        </xdr:cNvSpPr>
      </xdr:nvSpPr>
      <xdr:spPr bwMode="auto">
        <a:xfrm>
          <a:off x="3829050" y="34290000"/>
          <a:ext cx="314325" cy="1876425"/>
        </a:xfrm>
        <a:custGeom>
          <a:avLst/>
          <a:gdLst/>
          <a:ahLst/>
          <a:cxnLst>
            <a:cxn ang="0">
              <a:pos x="0" y="5"/>
            </a:cxn>
            <a:cxn ang="0">
              <a:pos x="25" y="11"/>
            </a:cxn>
            <a:cxn ang="0">
              <a:pos x="32" y="27"/>
            </a:cxn>
            <a:cxn ang="0">
              <a:pos x="31" y="53"/>
            </a:cxn>
            <a:cxn ang="0">
              <a:pos x="29" y="61"/>
            </a:cxn>
            <a:cxn ang="0">
              <a:pos x="60" y="94"/>
            </a:cxn>
            <a:cxn ang="0">
              <a:pos x="73" y="103"/>
            </a:cxn>
            <a:cxn ang="0">
              <a:pos x="76" y="106"/>
            </a:cxn>
            <a:cxn ang="0">
              <a:pos x="81" y="118"/>
            </a:cxn>
            <a:cxn ang="0">
              <a:pos x="67" y="149"/>
            </a:cxn>
            <a:cxn ang="0">
              <a:pos x="35" y="170"/>
            </a:cxn>
            <a:cxn ang="0">
              <a:pos x="58" y="183"/>
            </a:cxn>
            <a:cxn ang="0">
              <a:pos x="61" y="191"/>
            </a:cxn>
            <a:cxn ang="0">
              <a:pos x="26" y="184"/>
            </a:cxn>
            <a:cxn ang="0">
              <a:pos x="27" y="173"/>
            </a:cxn>
            <a:cxn ang="0">
              <a:pos x="63" y="153"/>
            </a:cxn>
            <a:cxn ang="0">
              <a:pos x="75" y="142"/>
            </a:cxn>
            <a:cxn ang="0">
              <a:pos x="65" y="103"/>
            </a:cxn>
            <a:cxn ang="0">
              <a:pos x="48" y="98"/>
            </a:cxn>
            <a:cxn ang="0">
              <a:pos x="37" y="93"/>
            </a:cxn>
            <a:cxn ang="0">
              <a:pos x="26" y="78"/>
            </a:cxn>
            <a:cxn ang="0">
              <a:pos x="20" y="17"/>
            </a:cxn>
            <a:cxn ang="0">
              <a:pos x="12" y="4"/>
            </a:cxn>
            <a:cxn ang="0">
              <a:pos x="0" y="5"/>
            </a:cxn>
          </a:cxnLst>
          <a:rect l="0" t="0" r="r" b="b"/>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3</xdr:col>
      <xdr:colOff>85725</xdr:colOff>
      <xdr:row>130</xdr:row>
      <xdr:rowOff>0</xdr:rowOff>
    </xdr:from>
    <xdr:to>
      <xdr:col>7</xdr:col>
      <xdr:colOff>19050</xdr:colOff>
      <xdr:row>136</xdr:row>
      <xdr:rowOff>142875</xdr:rowOff>
    </xdr:to>
    <xdr:sp macro="" textlink="">
      <xdr:nvSpPr>
        <xdr:cNvPr id="449" name="Freeform 1221"/>
        <xdr:cNvSpPr>
          <a:spLocks/>
        </xdr:cNvSpPr>
      </xdr:nvSpPr>
      <xdr:spPr bwMode="auto">
        <a:xfrm>
          <a:off x="1295400" y="32546925"/>
          <a:ext cx="1533525" cy="1704975"/>
        </a:xfrm>
        <a:custGeom>
          <a:avLst/>
          <a:gdLst/>
          <a:ahLst/>
          <a:cxnLst>
            <a:cxn ang="0">
              <a:pos x="105" y="3"/>
            </a:cxn>
            <a:cxn ang="0">
              <a:pos x="97" y="5"/>
            </a:cxn>
            <a:cxn ang="0">
              <a:pos x="91" y="17"/>
            </a:cxn>
            <a:cxn ang="0">
              <a:pos x="71" y="46"/>
            </a:cxn>
            <a:cxn ang="0">
              <a:pos x="62" y="52"/>
            </a:cxn>
            <a:cxn ang="0">
              <a:pos x="55" y="69"/>
            </a:cxn>
            <a:cxn ang="0">
              <a:pos x="47" y="92"/>
            </a:cxn>
            <a:cxn ang="0">
              <a:pos x="15" y="120"/>
            </a:cxn>
            <a:cxn ang="0">
              <a:pos x="11" y="123"/>
            </a:cxn>
            <a:cxn ang="0">
              <a:pos x="13" y="131"/>
            </a:cxn>
            <a:cxn ang="0">
              <a:pos x="0" y="145"/>
            </a:cxn>
            <a:cxn ang="0">
              <a:pos x="9" y="146"/>
            </a:cxn>
            <a:cxn ang="0">
              <a:pos x="19" y="130"/>
            </a:cxn>
            <a:cxn ang="0">
              <a:pos x="29" y="119"/>
            </a:cxn>
            <a:cxn ang="0">
              <a:pos x="37" y="115"/>
            </a:cxn>
            <a:cxn ang="0">
              <a:pos x="54" y="92"/>
            </a:cxn>
            <a:cxn ang="0">
              <a:pos x="74" y="52"/>
            </a:cxn>
            <a:cxn ang="0">
              <a:pos x="93" y="46"/>
            </a:cxn>
            <a:cxn ang="0">
              <a:pos x="116" y="9"/>
            </a:cxn>
            <a:cxn ang="0">
              <a:pos x="110" y="7"/>
            </a:cxn>
            <a:cxn ang="0">
              <a:pos x="105" y="3"/>
            </a:cxn>
          </a:cxnLst>
          <a:rect l="0" t="0" r="r" b="b"/>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CC00"/>
        </a:solidFill>
        <a:ln w="9525" cap="flat" cmpd="sng">
          <a:solidFill>
            <a:srgbClr val="000000"/>
          </a:solidFill>
          <a:prstDash val="solid"/>
          <a:round/>
          <a:headEnd/>
          <a:tailEnd/>
        </a:ln>
        <a:effectLst/>
      </xdr:spPr>
    </xdr:sp>
    <xdr:clientData/>
  </xdr:twoCellAnchor>
  <xdr:twoCellAnchor>
    <xdr:from>
      <xdr:col>2</xdr:col>
      <xdr:colOff>142875</xdr:colOff>
      <xdr:row>136</xdr:row>
      <xdr:rowOff>171450</xdr:rowOff>
    </xdr:from>
    <xdr:to>
      <xdr:col>5</xdr:col>
      <xdr:colOff>76200</xdr:colOff>
      <xdr:row>142</xdr:row>
      <xdr:rowOff>238125</xdr:rowOff>
    </xdr:to>
    <xdr:sp macro="" textlink="">
      <xdr:nvSpPr>
        <xdr:cNvPr id="450" name="Freeform 1222"/>
        <xdr:cNvSpPr>
          <a:spLocks/>
        </xdr:cNvSpPr>
      </xdr:nvSpPr>
      <xdr:spPr bwMode="auto">
        <a:xfrm>
          <a:off x="704850" y="34280475"/>
          <a:ext cx="1533525" cy="1628775"/>
        </a:xfrm>
        <a:custGeom>
          <a:avLst/>
          <a:gdLst/>
          <a:ahLst/>
          <a:cxnLst>
            <a:cxn ang="0">
              <a:pos x="105" y="3"/>
            </a:cxn>
            <a:cxn ang="0">
              <a:pos x="97" y="5"/>
            </a:cxn>
            <a:cxn ang="0">
              <a:pos x="91" y="17"/>
            </a:cxn>
            <a:cxn ang="0">
              <a:pos x="71" y="46"/>
            </a:cxn>
            <a:cxn ang="0">
              <a:pos x="62" y="52"/>
            </a:cxn>
            <a:cxn ang="0">
              <a:pos x="55" y="69"/>
            </a:cxn>
            <a:cxn ang="0">
              <a:pos x="47" y="92"/>
            </a:cxn>
            <a:cxn ang="0">
              <a:pos x="15" y="120"/>
            </a:cxn>
            <a:cxn ang="0">
              <a:pos x="11" y="123"/>
            </a:cxn>
            <a:cxn ang="0">
              <a:pos x="13" y="131"/>
            </a:cxn>
            <a:cxn ang="0">
              <a:pos x="0" y="145"/>
            </a:cxn>
            <a:cxn ang="0">
              <a:pos x="9" y="146"/>
            </a:cxn>
            <a:cxn ang="0">
              <a:pos x="19" y="130"/>
            </a:cxn>
            <a:cxn ang="0">
              <a:pos x="29" y="119"/>
            </a:cxn>
            <a:cxn ang="0">
              <a:pos x="37" y="115"/>
            </a:cxn>
            <a:cxn ang="0">
              <a:pos x="54" y="92"/>
            </a:cxn>
            <a:cxn ang="0">
              <a:pos x="74" y="52"/>
            </a:cxn>
            <a:cxn ang="0">
              <a:pos x="93" y="46"/>
            </a:cxn>
            <a:cxn ang="0">
              <a:pos x="116" y="9"/>
            </a:cxn>
            <a:cxn ang="0">
              <a:pos x="110" y="7"/>
            </a:cxn>
            <a:cxn ang="0">
              <a:pos x="105" y="3"/>
            </a:cxn>
          </a:cxnLst>
          <a:rect l="0" t="0" r="r" b="b"/>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7</xdr:col>
      <xdr:colOff>38100</xdr:colOff>
      <xdr:row>128</xdr:row>
      <xdr:rowOff>219075</xdr:rowOff>
    </xdr:from>
    <xdr:to>
      <xdr:col>8</xdr:col>
      <xdr:colOff>28575</xdr:colOff>
      <xdr:row>131</xdr:row>
      <xdr:rowOff>9525</xdr:rowOff>
    </xdr:to>
    <xdr:sp macro="" textlink="">
      <xdr:nvSpPr>
        <xdr:cNvPr id="451" name="Freeform 1223"/>
        <xdr:cNvSpPr>
          <a:spLocks/>
        </xdr:cNvSpPr>
      </xdr:nvSpPr>
      <xdr:spPr bwMode="auto">
        <a:xfrm>
          <a:off x="2847975" y="32270700"/>
          <a:ext cx="714375" cy="533400"/>
        </a:xfrm>
        <a:custGeom>
          <a:avLst/>
          <a:gdLst/>
          <a:ahLst/>
          <a:cxnLst>
            <a:cxn ang="0">
              <a:pos x="0" y="55"/>
            </a:cxn>
            <a:cxn ang="0">
              <a:pos x="20" y="30"/>
            </a:cxn>
            <a:cxn ang="0">
              <a:pos x="54" y="3"/>
            </a:cxn>
            <a:cxn ang="0">
              <a:pos x="64" y="3"/>
            </a:cxn>
            <a:cxn ang="0">
              <a:pos x="54" y="12"/>
            </a:cxn>
            <a:cxn ang="0">
              <a:pos x="57" y="29"/>
            </a:cxn>
            <a:cxn ang="0">
              <a:pos x="55" y="53"/>
            </a:cxn>
            <a:cxn ang="0">
              <a:pos x="40" y="46"/>
            </a:cxn>
            <a:cxn ang="0">
              <a:pos x="11" y="47"/>
            </a:cxn>
            <a:cxn ang="0">
              <a:pos x="9" y="50"/>
            </a:cxn>
            <a:cxn ang="0">
              <a:pos x="6" y="51"/>
            </a:cxn>
            <a:cxn ang="0">
              <a:pos x="0" y="55"/>
            </a:cxn>
          </a:cxnLst>
          <a:rect l="0" t="0" r="r" b="b"/>
          <a:pathLst>
            <a:path w="67" h="56">
              <a:moveTo>
                <a:pt x="0" y="55"/>
              </a:moveTo>
              <a:cubicBezTo>
                <a:pt x="3" y="47"/>
                <a:pt x="14" y="36"/>
                <a:pt x="20" y="30"/>
              </a:cubicBezTo>
              <a:cubicBezTo>
                <a:pt x="27" y="9"/>
                <a:pt x="31" y="4"/>
                <a:pt x="54" y="3"/>
              </a:cubicBezTo>
              <a:cubicBezTo>
                <a:pt x="56" y="2"/>
                <a:pt x="62" y="0"/>
                <a:pt x="64" y="3"/>
              </a:cubicBezTo>
              <a:cubicBezTo>
                <a:pt x="67" y="7"/>
                <a:pt x="54" y="12"/>
                <a:pt x="54" y="12"/>
              </a:cubicBezTo>
              <a:cubicBezTo>
                <a:pt x="52" y="19"/>
                <a:pt x="55" y="23"/>
                <a:pt x="57" y="29"/>
              </a:cubicBezTo>
              <a:cubicBezTo>
                <a:pt x="57" y="33"/>
                <a:pt x="62" y="51"/>
                <a:pt x="55" y="53"/>
              </a:cubicBezTo>
              <a:cubicBezTo>
                <a:pt x="47" y="52"/>
                <a:pt x="47" y="48"/>
                <a:pt x="40" y="46"/>
              </a:cubicBezTo>
              <a:cubicBezTo>
                <a:pt x="30" y="46"/>
                <a:pt x="21" y="46"/>
                <a:pt x="11" y="47"/>
              </a:cubicBezTo>
              <a:cubicBezTo>
                <a:pt x="10" y="47"/>
                <a:pt x="10" y="49"/>
                <a:pt x="9" y="50"/>
              </a:cubicBezTo>
              <a:cubicBezTo>
                <a:pt x="8" y="51"/>
                <a:pt x="7" y="51"/>
                <a:pt x="6" y="51"/>
              </a:cubicBezTo>
              <a:cubicBezTo>
                <a:pt x="3" y="56"/>
                <a:pt x="5" y="55"/>
                <a:pt x="0" y="5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2</xdr:col>
      <xdr:colOff>161925</xdr:colOff>
      <xdr:row>129</xdr:row>
      <xdr:rowOff>133350</xdr:rowOff>
    </xdr:from>
    <xdr:to>
      <xdr:col>2</xdr:col>
      <xdr:colOff>561975</xdr:colOff>
      <xdr:row>130</xdr:row>
      <xdr:rowOff>209550</xdr:rowOff>
    </xdr:to>
    <xdr:sp macro="" textlink="">
      <xdr:nvSpPr>
        <xdr:cNvPr id="452" name="Freeform 1224"/>
        <xdr:cNvSpPr>
          <a:spLocks/>
        </xdr:cNvSpPr>
      </xdr:nvSpPr>
      <xdr:spPr bwMode="auto">
        <a:xfrm>
          <a:off x="723900" y="32432625"/>
          <a:ext cx="400050" cy="323850"/>
        </a:xfrm>
        <a:custGeom>
          <a:avLst/>
          <a:gdLst/>
          <a:ahLst/>
          <a:cxnLst>
            <a:cxn ang="0">
              <a:pos x="3" y="22"/>
            </a:cxn>
            <a:cxn ang="0">
              <a:pos x="18" y="0"/>
            </a:cxn>
            <a:cxn ang="0">
              <a:pos x="40" y="11"/>
            </a:cxn>
            <a:cxn ang="0">
              <a:pos x="3" y="22"/>
            </a:cxn>
          </a:cxnLst>
          <a:rect l="0" t="0" r="r" b="b"/>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cap="flat" cmpd="sng">
          <a:solidFill>
            <a:srgbClr val="000000"/>
          </a:solidFill>
          <a:prstDash val="solid"/>
          <a:round/>
          <a:headEnd/>
          <a:tailEnd/>
        </a:ln>
        <a:effectLst/>
      </xdr:spPr>
    </xdr:sp>
    <xdr:clientData/>
  </xdr:twoCellAnchor>
  <xdr:twoCellAnchor>
    <xdr:from>
      <xdr:col>1</xdr:col>
      <xdr:colOff>200025</xdr:colOff>
      <xdr:row>130</xdr:row>
      <xdr:rowOff>95250</xdr:rowOff>
    </xdr:from>
    <xdr:to>
      <xdr:col>3</xdr:col>
      <xdr:colOff>85725</xdr:colOff>
      <xdr:row>131</xdr:row>
      <xdr:rowOff>85725</xdr:rowOff>
    </xdr:to>
    <xdr:sp macro="" textlink="">
      <xdr:nvSpPr>
        <xdr:cNvPr id="453" name="AutoShape 1225"/>
        <xdr:cNvSpPr>
          <a:spLocks noChangeArrowheads="1"/>
        </xdr:cNvSpPr>
      </xdr:nvSpPr>
      <xdr:spPr bwMode="auto">
        <a:xfrm>
          <a:off x="495300" y="32642175"/>
          <a:ext cx="800100" cy="238125"/>
        </a:xfrm>
        <a:custGeom>
          <a:avLst/>
          <a:gdLst>
            <a:gd name="G0" fmla="+- 5400 0 0"/>
            <a:gd name="G1" fmla="+- 11796480 0 0"/>
            <a:gd name="G2" fmla="+- 0 0 11796480"/>
            <a:gd name="T0" fmla="*/ 0 256 1"/>
            <a:gd name="T1" fmla="*/ 180 256 1"/>
            <a:gd name="G3" fmla="+- 11796480 T0 T1"/>
            <a:gd name="T2" fmla="*/ 0 256 1"/>
            <a:gd name="T3" fmla="*/ 90 256 1"/>
            <a:gd name="G4" fmla="+- 11796480 T2 T3"/>
            <a:gd name="G5" fmla="*/ G4 2 1"/>
            <a:gd name="T4" fmla="*/ 90 256 1"/>
            <a:gd name="T5" fmla="*/ 0 256 1"/>
            <a:gd name="G6" fmla="+- 11796480 T4 T5"/>
            <a:gd name="G7" fmla="*/ G6 2 1"/>
            <a:gd name="G8" fmla="abs 11796480"/>
            <a:gd name="T6" fmla="*/ 0 256 1"/>
            <a:gd name="T7" fmla="*/ 90 256 1"/>
            <a:gd name="G9" fmla="+- G8 T6 T7"/>
            <a:gd name="G10" fmla="?: G9 G7 G5"/>
            <a:gd name="T8" fmla="*/ 0 256 1"/>
            <a:gd name="T9" fmla="*/ 360 256 1"/>
            <a:gd name="G11" fmla="+- G10 T8 T9"/>
            <a:gd name="G12" fmla="?: G10 G11 G10"/>
            <a:gd name="T10" fmla="*/ 0 256 1"/>
            <a:gd name="T11" fmla="*/ 360 256 1"/>
            <a:gd name="G13" fmla="+- G12 T10 T11"/>
            <a:gd name="G14" fmla="?: G12 G13 G12"/>
            <a:gd name="G15" fmla="+- 0 0 G14"/>
            <a:gd name="G16" fmla="+- 10800 0 0"/>
            <a:gd name="G17" fmla="+- 10800 0 5400"/>
            <a:gd name="G18" fmla="*/ 5400 1 2"/>
            <a:gd name="G19" fmla="+- G18 5400 0"/>
            <a:gd name="G20" fmla="cos G19 11796480"/>
            <a:gd name="G21" fmla="sin G19 11796480"/>
            <a:gd name="G22" fmla="+- G20 10800 0"/>
            <a:gd name="G23" fmla="+- G21 10800 0"/>
            <a:gd name="G24" fmla="+- 10800 0 G20"/>
            <a:gd name="G25" fmla="+- 5400 10800 0"/>
            <a:gd name="G26" fmla="?: G9 G17 G25"/>
            <a:gd name="G27" fmla="?: G9 0 21600"/>
            <a:gd name="G28" fmla="cos 10800 11796480"/>
            <a:gd name="G29" fmla="sin 10800 11796480"/>
            <a:gd name="G30" fmla="sin 5400 11796480"/>
            <a:gd name="G31" fmla="+- G28 10800 0"/>
            <a:gd name="G32" fmla="+- G29 10800 0"/>
            <a:gd name="G33" fmla="+- G30 10800 0"/>
            <a:gd name="G34" fmla="?: G4 0 G31"/>
            <a:gd name="G35" fmla="?: 11796480 G34 0"/>
            <a:gd name="G36" fmla="?: G6 G35 G31"/>
            <a:gd name="G37" fmla="+- 21600 0 G36"/>
            <a:gd name="G38" fmla="?: G4 0 G33"/>
            <a:gd name="G39" fmla="?: 11796480 G38 G32"/>
            <a:gd name="G40" fmla="?: G6 G39 0"/>
            <a:gd name="G41" fmla="?: G4 G32 21600"/>
            <a:gd name="G42" fmla="?: G6 G41 G33"/>
            <a:gd name="T12" fmla="*/ 10800 w 21600"/>
            <a:gd name="T13" fmla="*/ 0 h 21600"/>
            <a:gd name="T14" fmla="*/ 2700 w 21600"/>
            <a:gd name="T15" fmla="*/ 10800 h 21600"/>
            <a:gd name="T16" fmla="*/ 10800 w 21600"/>
            <a:gd name="T17" fmla="*/ 5400 h 21600"/>
            <a:gd name="T18" fmla="*/ 18900 w 21600"/>
            <a:gd name="T19" fmla="*/ 10800 h 21600"/>
            <a:gd name="T20" fmla="*/ G36 w 21600"/>
            <a:gd name="T21" fmla="*/ G40 h 21600"/>
            <a:gd name="T22" fmla="*/ G37 w 21600"/>
            <a:gd name="T23" fmla="*/ G42 h 21600"/>
          </a:gdLst>
          <a:ahLst/>
          <a:cxnLst>
            <a:cxn ang="0">
              <a:pos x="T12" y="T13"/>
            </a:cxn>
            <a:cxn ang="0">
              <a:pos x="T14" y="T15"/>
            </a:cxn>
            <a:cxn ang="0">
              <a:pos x="T16" y="T17"/>
            </a:cxn>
            <a:cxn ang="0">
              <a:pos x="T18" y="T19"/>
            </a:cxn>
          </a:cxnLst>
          <a:rect l="T20" t="T21" r="T22" b="T23"/>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a:effectLst/>
      </xdr:spPr>
    </xdr:sp>
    <xdr:clientData/>
  </xdr:twoCellAnchor>
  <xdr:twoCellAnchor>
    <xdr:from>
      <xdr:col>1</xdr:col>
      <xdr:colOff>85725</xdr:colOff>
      <xdr:row>142</xdr:row>
      <xdr:rowOff>180975</xdr:rowOff>
    </xdr:from>
    <xdr:to>
      <xdr:col>2</xdr:col>
      <xdr:colOff>104775</xdr:colOff>
      <xdr:row>144</xdr:row>
      <xdr:rowOff>95250</xdr:rowOff>
    </xdr:to>
    <xdr:sp macro="" textlink="">
      <xdr:nvSpPr>
        <xdr:cNvPr id="454" name="Freeform 1226"/>
        <xdr:cNvSpPr>
          <a:spLocks/>
        </xdr:cNvSpPr>
      </xdr:nvSpPr>
      <xdr:spPr bwMode="auto">
        <a:xfrm>
          <a:off x="381000" y="35852100"/>
          <a:ext cx="285750" cy="409575"/>
        </a:xfrm>
        <a:custGeom>
          <a:avLst/>
          <a:gdLst/>
          <a:ahLst/>
          <a:cxnLst>
            <a:cxn ang="0">
              <a:pos x="29" y="2"/>
            </a:cxn>
            <a:cxn ang="0">
              <a:pos x="24" y="20"/>
            </a:cxn>
            <a:cxn ang="0">
              <a:pos x="2" y="43"/>
            </a:cxn>
            <a:cxn ang="0">
              <a:pos x="1" y="40"/>
            </a:cxn>
            <a:cxn ang="0">
              <a:pos x="13" y="36"/>
            </a:cxn>
            <a:cxn ang="0">
              <a:pos x="19" y="25"/>
            </a:cxn>
            <a:cxn ang="0">
              <a:pos x="25" y="0"/>
            </a:cxn>
            <a:cxn ang="0">
              <a:pos x="29" y="2"/>
            </a:cxn>
          </a:cxnLst>
          <a:rect l="0" t="0" r="r" b="b"/>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cap="flat" cmpd="sng">
          <a:solidFill>
            <a:srgbClr val="000000"/>
          </a:solidFill>
          <a:prstDash val="solid"/>
          <a:round/>
          <a:headEnd/>
          <a:tailEnd/>
        </a:ln>
        <a:effectLst/>
      </xdr:spPr>
    </xdr:sp>
    <xdr:clientData/>
  </xdr:twoCellAnchor>
  <xdr:twoCellAnchor>
    <xdr:from>
      <xdr:col>3</xdr:col>
      <xdr:colOff>57150</xdr:colOff>
      <xdr:row>142</xdr:row>
      <xdr:rowOff>190500</xdr:rowOff>
    </xdr:from>
    <xdr:to>
      <xdr:col>4</xdr:col>
      <xdr:colOff>257175</xdr:colOff>
      <xdr:row>144</xdr:row>
      <xdr:rowOff>57150</xdr:rowOff>
    </xdr:to>
    <xdr:sp macro="" textlink="">
      <xdr:nvSpPr>
        <xdr:cNvPr id="455" name="Freeform 1227"/>
        <xdr:cNvSpPr>
          <a:spLocks/>
        </xdr:cNvSpPr>
      </xdr:nvSpPr>
      <xdr:spPr bwMode="auto">
        <a:xfrm>
          <a:off x="1266825" y="35861625"/>
          <a:ext cx="466725" cy="361950"/>
        </a:xfrm>
        <a:custGeom>
          <a:avLst/>
          <a:gdLst/>
          <a:ahLst/>
          <a:cxnLst>
            <a:cxn ang="0">
              <a:pos x="7" y="4"/>
            </a:cxn>
            <a:cxn ang="0">
              <a:pos x="8" y="9"/>
            </a:cxn>
            <a:cxn ang="0">
              <a:pos x="11" y="11"/>
            </a:cxn>
            <a:cxn ang="0">
              <a:pos x="13" y="24"/>
            </a:cxn>
            <a:cxn ang="0">
              <a:pos x="40" y="38"/>
            </a:cxn>
            <a:cxn ang="0">
              <a:pos x="27" y="29"/>
            </a:cxn>
            <a:cxn ang="0">
              <a:pos x="18" y="25"/>
            </a:cxn>
            <a:cxn ang="0">
              <a:pos x="9" y="7"/>
            </a:cxn>
            <a:cxn ang="0">
              <a:pos x="7" y="4"/>
            </a:cxn>
          </a:cxnLst>
          <a:rect l="0" t="0" r="r" b="b"/>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cap="flat" cmpd="sng">
          <a:solidFill>
            <a:srgbClr val="000000"/>
          </a:solidFill>
          <a:prstDash val="solid"/>
          <a:round/>
          <a:headEnd/>
          <a:tailEnd/>
        </a:ln>
        <a:effectLst/>
      </xdr:spPr>
    </xdr:sp>
    <xdr:clientData/>
  </xdr:twoCellAnchor>
  <xdr:twoCellAnchor>
    <xdr:from>
      <xdr:col>11</xdr:col>
      <xdr:colOff>95250</xdr:colOff>
      <xdr:row>130</xdr:row>
      <xdr:rowOff>200025</xdr:rowOff>
    </xdr:from>
    <xdr:to>
      <xdr:col>11</xdr:col>
      <xdr:colOff>523875</xdr:colOff>
      <xdr:row>132</xdr:row>
      <xdr:rowOff>171450</xdr:rowOff>
    </xdr:to>
    <xdr:sp macro="" textlink="">
      <xdr:nvSpPr>
        <xdr:cNvPr id="456" name="Oval 1228"/>
        <xdr:cNvSpPr>
          <a:spLocks noChangeArrowheads="1"/>
        </xdr:cNvSpPr>
      </xdr:nvSpPr>
      <xdr:spPr bwMode="auto">
        <a:xfrm>
          <a:off x="4562475" y="32746950"/>
          <a:ext cx="428625" cy="466725"/>
        </a:xfrm>
        <a:prstGeom prst="ellipse">
          <a:avLst/>
        </a:prstGeom>
        <a:solidFill>
          <a:srgbClr val="FFFF00"/>
        </a:solidFill>
        <a:ln w="9525">
          <a:solidFill>
            <a:srgbClr val="000000"/>
          </a:solidFill>
          <a:round/>
          <a:headEnd/>
          <a:tailEnd/>
        </a:ln>
        <a:effectLst/>
      </xdr:spPr>
    </xdr:sp>
    <xdr:clientData/>
  </xdr:twoCellAnchor>
  <xdr:twoCellAnchor>
    <xdr:from>
      <xdr:col>11</xdr:col>
      <xdr:colOff>238125</xdr:colOff>
      <xdr:row>132</xdr:row>
      <xdr:rowOff>171450</xdr:rowOff>
    </xdr:from>
    <xdr:to>
      <xdr:col>11</xdr:col>
      <xdr:colOff>419100</xdr:colOff>
      <xdr:row>134</xdr:row>
      <xdr:rowOff>0</xdr:rowOff>
    </xdr:to>
    <xdr:sp macro="" textlink="">
      <xdr:nvSpPr>
        <xdr:cNvPr id="457" name="Text Box 1229"/>
        <xdr:cNvSpPr txBox="1">
          <a:spLocks noChangeArrowheads="1"/>
        </xdr:cNvSpPr>
      </xdr:nvSpPr>
      <xdr:spPr bwMode="auto">
        <a:xfrm>
          <a:off x="4705350" y="33213675"/>
          <a:ext cx="180975" cy="323850"/>
        </a:xfrm>
        <a:prstGeom prst="rect">
          <a:avLst/>
        </a:prstGeom>
        <a:solidFill>
          <a:srgbClr val="FFFF00"/>
        </a:solidFill>
        <a:ln w="9525">
          <a:noFill/>
          <a:miter lim="800000"/>
          <a:headEnd/>
          <a:tailEnd/>
        </a:ln>
        <a:effectLst/>
      </xdr:spPr>
    </xdr:sp>
    <xdr:clientData/>
  </xdr:twoCellAnchor>
  <xdr:twoCellAnchor>
    <xdr:from>
      <xdr:col>10</xdr:col>
      <xdr:colOff>19050</xdr:colOff>
      <xdr:row>132</xdr:row>
      <xdr:rowOff>142875</xdr:rowOff>
    </xdr:from>
    <xdr:to>
      <xdr:col>11</xdr:col>
      <xdr:colOff>276225</xdr:colOff>
      <xdr:row>134</xdr:row>
      <xdr:rowOff>28575</xdr:rowOff>
    </xdr:to>
    <xdr:sp macro="" textlink="">
      <xdr:nvSpPr>
        <xdr:cNvPr id="458" name="Freeform 1230"/>
        <xdr:cNvSpPr>
          <a:spLocks/>
        </xdr:cNvSpPr>
      </xdr:nvSpPr>
      <xdr:spPr bwMode="auto">
        <a:xfrm>
          <a:off x="4219575" y="33185100"/>
          <a:ext cx="523875" cy="381000"/>
        </a:xfrm>
        <a:custGeom>
          <a:avLst/>
          <a:gdLst/>
          <a:ahLst/>
          <a:cxnLst>
            <a:cxn ang="0">
              <a:pos x="52" y="0"/>
            </a:cxn>
            <a:cxn ang="0">
              <a:pos x="21" y="13"/>
            </a:cxn>
            <a:cxn ang="0">
              <a:pos x="1" y="17"/>
            </a:cxn>
            <a:cxn ang="0">
              <a:pos x="0" y="24"/>
            </a:cxn>
          </a:cxnLst>
          <a:rect l="0" t="0" r="r" b="b"/>
          <a:pathLst>
            <a:path w="58" h="24">
              <a:moveTo>
                <a:pt x="52" y="0"/>
              </a:moveTo>
              <a:cubicBezTo>
                <a:pt x="58" y="18"/>
                <a:pt x="34" y="12"/>
                <a:pt x="21" y="13"/>
              </a:cubicBezTo>
              <a:cubicBezTo>
                <a:pt x="15" y="17"/>
                <a:pt x="8" y="15"/>
                <a:pt x="1" y="17"/>
              </a:cubicBezTo>
              <a:cubicBezTo>
                <a:pt x="0" y="21"/>
                <a:pt x="0" y="19"/>
                <a:pt x="0" y="24"/>
              </a:cubicBezTo>
            </a:path>
          </a:pathLst>
        </a:custGeom>
        <a:noFill/>
        <a:ln w="9525" cap="flat" cmpd="sng">
          <a:solidFill>
            <a:srgbClr val="000000"/>
          </a:solidFill>
          <a:prstDash val="solid"/>
          <a:round/>
          <a:headEnd/>
          <a:tailEnd/>
        </a:ln>
        <a:effectLst/>
      </xdr:spPr>
    </xdr:sp>
    <xdr:clientData/>
  </xdr:twoCellAnchor>
  <xdr:twoCellAnchor>
    <xdr:from>
      <xdr:col>11</xdr:col>
      <xdr:colOff>409575</xdr:colOff>
      <xdr:row>132</xdr:row>
      <xdr:rowOff>161925</xdr:rowOff>
    </xdr:from>
    <xdr:to>
      <xdr:col>12</xdr:col>
      <xdr:colOff>295275</xdr:colOff>
      <xdr:row>134</xdr:row>
      <xdr:rowOff>9525</xdr:rowOff>
    </xdr:to>
    <xdr:sp macro="" textlink="">
      <xdr:nvSpPr>
        <xdr:cNvPr id="459" name="Freeform 1231"/>
        <xdr:cNvSpPr>
          <a:spLocks/>
        </xdr:cNvSpPr>
      </xdr:nvSpPr>
      <xdr:spPr bwMode="auto">
        <a:xfrm>
          <a:off x="4876800" y="33204150"/>
          <a:ext cx="609600" cy="342900"/>
        </a:xfrm>
        <a:custGeom>
          <a:avLst/>
          <a:gdLst/>
          <a:ahLst/>
          <a:cxnLst>
            <a:cxn ang="0">
              <a:pos x="0" y="0"/>
            </a:cxn>
            <a:cxn ang="0">
              <a:pos x="11" y="12"/>
            </a:cxn>
            <a:cxn ang="0">
              <a:pos x="31" y="11"/>
            </a:cxn>
            <a:cxn ang="0">
              <a:pos x="44" y="14"/>
            </a:cxn>
            <a:cxn ang="0">
              <a:pos x="47" y="18"/>
            </a:cxn>
          </a:cxnLst>
          <a:rect l="0" t="0" r="r" b="b"/>
          <a:pathLst>
            <a:path w="48" h="18">
              <a:moveTo>
                <a:pt x="0" y="0"/>
              </a:moveTo>
              <a:cubicBezTo>
                <a:pt x="3" y="11"/>
                <a:pt x="3" y="7"/>
                <a:pt x="11" y="12"/>
              </a:cubicBezTo>
              <a:cubicBezTo>
                <a:pt x="20" y="11"/>
                <a:pt x="22" y="10"/>
                <a:pt x="31" y="11"/>
              </a:cubicBezTo>
              <a:cubicBezTo>
                <a:pt x="39" y="14"/>
                <a:pt x="35" y="13"/>
                <a:pt x="44" y="14"/>
              </a:cubicBezTo>
              <a:cubicBezTo>
                <a:pt x="48" y="16"/>
                <a:pt x="47" y="15"/>
                <a:pt x="47" y="18"/>
              </a:cubicBezTo>
            </a:path>
          </a:pathLst>
        </a:custGeom>
        <a:noFill/>
        <a:ln w="9525" cap="flat" cmpd="sng">
          <a:solidFill>
            <a:srgbClr val="000000"/>
          </a:solidFill>
          <a:prstDash val="solid"/>
          <a:round/>
          <a:headEnd/>
          <a:tailEnd/>
        </a:ln>
        <a:effectLst/>
      </xdr:spPr>
    </xdr:sp>
    <xdr:clientData/>
  </xdr:twoCellAnchor>
  <xdr:twoCellAnchor>
    <xdr:from>
      <xdr:col>9</xdr:col>
      <xdr:colOff>171450</xdr:colOff>
      <xdr:row>133</xdr:row>
      <xdr:rowOff>38100</xdr:rowOff>
    </xdr:from>
    <xdr:to>
      <xdr:col>11</xdr:col>
      <xdr:colOff>0</xdr:colOff>
      <xdr:row>137</xdr:row>
      <xdr:rowOff>76200</xdr:rowOff>
    </xdr:to>
    <xdr:sp macro="" textlink="">
      <xdr:nvSpPr>
        <xdr:cNvPr id="460" name="Freeform 1232"/>
        <xdr:cNvSpPr>
          <a:spLocks/>
        </xdr:cNvSpPr>
      </xdr:nvSpPr>
      <xdr:spPr bwMode="auto">
        <a:xfrm>
          <a:off x="3971925" y="33327975"/>
          <a:ext cx="495300" cy="1181100"/>
        </a:xfrm>
        <a:custGeom>
          <a:avLst/>
          <a:gdLst/>
          <a:ahLst/>
          <a:cxnLst>
            <a:cxn ang="0">
              <a:pos x="48" y="31"/>
            </a:cxn>
            <a:cxn ang="0">
              <a:pos x="49" y="73"/>
            </a:cxn>
            <a:cxn ang="0">
              <a:pos x="50" y="79"/>
            </a:cxn>
            <a:cxn ang="0">
              <a:pos x="49" y="72"/>
            </a:cxn>
            <a:cxn ang="0">
              <a:pos x="48" y="106"/>
            </a:cxn>
            <a:cxn ang="0">
              <a:pos x="28" y="114"/>
            </a:cxn>
            <a:cxn ang="0">
              <a:pos x="16" y="35"/>
            </a:cxn>
            <a:cxn ang="0">
              <a:pos x="20" y="19"/>
            </a:cxn>
            <a:cxn ang="0">
              <a:pos x="23" y="0"/>
            </a:cxn>
          </a:cxnLst>
          <a:rect l="0" t="0" r="r" b="b"/>
          <a:pathLst>
            <a:path w="50" h="114">
              <a:moveTo>
                <a:pt x="48" y="31"/>
              </a:moveTo>
              <a:cubicBezTo>
                <a:pt x="48" y="45"/>
                <a:pt x="48" y="59"/>
                <a:pt x="49" y="73"/>
              </a:cubicBezTo>
              <a:cubicBezTo>
                <a:pt x="49" y="75"/>
                <a:pt x="50" y="81"/>
                <a:pt x="50" y="79"/>
              </a:cubicBezTo>
              <a:cubicBezTo>
                <a:pt x="50" y="77"/>
                <a:pt x="49" y="74"/>
                <a:pt x="49" y="72"/>
              </a:cubicBezTo>
              <a:cubicBezTo>
                <a:pt x="45" y="83"/>
                <a:pt x="47" y="95"/>
                <a:pt x="48" y="106"/>
              </a:cubicBezTo>
              <a:cubicBezTo>
                <a:pt x="41" y="108"/>
                <a:pt x="35" y="112"/>
                <a:pt x="28" y="114"/>
              </a:cubicBezTo>
              <a:cubicBezTo>
                <a:pt x="0" y="100"/>
                <a:pt x="40" y="0"/>
                <a:pt x="16" y="35"/>
              </a:cubicBezTo>
              <a:cubicBezTo>
                <a:pt x="17" y="30"/>
                <a:pt x="20" y="19"/>
                <a:pt x="20" y="19"/>
              </a:cubicBezTo>
              <a:cubicBezTo>
                <a:pt x="20" y="18"/>
                <a:pt x="23" y="4"/>
                <a:pt x="23" y="0"/>
              </a:cubicBezTo>
            </a:path>
          </a:pathLst>
        </a:custGeom>
        <a:solidFill>
          <a:srgbClr val="FF0000"/>
        </a:solidFill>
        <a:ln w="9525" cap="flat" cmpd="sng">
          <a:solidFill>
            <a:srgbClr val="000000"/>
          </a:solidFill>
          <a:prstDash val="solid"/>
          <a:round/>
          <a:headEnd/>
          <a:tailEnd/>
        </a:ln>
        <a:effectLst/>
      </xdr:spPr>
    </xdr:sp>
    <xdr:clientData/>
  </xdr:twoCellAnchor>
  <xdr:twoCellAnchor>
    <xdr:from>
      <xdr:col>10</xdr:col>
      <xdr:colOff>19050</xdr:colOff>
      <xdr:row>137</xdr:row>
      <xdr:rowOff>38100</xdr:rowOff>
    </xdr:from>
    <xdr:to>
      <xdr:col>10</xdr:col>
      <xdr:colOff>171450</xdr:colOff>
      <xdr:row>138</xdr:row>
      <xdr:rowOff>152400</xdr:rowOff>
    </xdr:to>
    <xdr:sp macro="" textlink="">
      <xdr:nvSpPr>
        <xdr:cNvPr id="461" name="Freeform 1233"/>
        <xdr:cNvSpPr>
          <a:spLocks/>
        </xdr:cNvSpPr>
      </xdr:nvSpPr>
      <xdr:spPr bwMode="auto">
        <a:xfrm>
          <a:off x="4219575" y="34470975"/>
          <a:ext cx="152400" cy="361950"/>
        </a:xfrm>
        <a:custGeom>
          <a:avLst/>
          <a:gdLst/>
          <a:ahLst/>
          <a:cxnLst>
            <a:cxn ang="0">
              <a:pos x="5" y="3"/>
            </a:cxn>
            <a:cxn ang="0">
              <a:pos x="8" y="25"/>
            </a:cxn>
            <a:cxn ang="0">
              <a:pos x="14" y="0"/>
            </a:cxn>
          </a:cxnLst>
          <a:rect l="0" t="0" r="r" b="b"/>
          <a:pathLst>
            <a:path w="14" h="26">
              <a:moveTo>
                <a:pt x="5" y="3"/>
              </a:moveTo>
              <a:cubicBezTo>
                <a:pt x="1" y="9"/>
                <a:pt x="0" y="22"/>
                <a:pt x="8" y="25"/>
              </a:cubicBezTo>
              <a:cubicBezTo>
                <a:pt x="10" y="6"/>
                <a:pt x="14" y="26"/>
                <a:pt x="14" y="0"/>
              </a:cubicBezTo>
            </a:path>
          </a:pathLst>
        </a:custGeom>
        <a:solidFill>
          <a:srgbClr val="FFCC00"/>
        </a:solidFill>
        <a:ln w="9525" cap="flat" cmpd="sng">
          <a:solidFill>
            <a:srgbClr val="000000"/>
          </a:solidFill>
          <a:prstDash val="solid"/>
          <a:round/>
          <a:headEnd/>
          <a:tailEnd/>
        </a:ln>
        <a:effectLst/>
      </xdr:spPr>
    </xdr:sp>
    <xdr:clientData/>
  </xdr:twoCellAnchor>
  <xdr:twoCellAnchor>
    <xdr:from>
      <xdr:col>11</xdr:col>
      <xdr:colOff>609600</xdr:colOff>
      <xdr:row>133</xdr:row>
      <xdr:rowOff>66675</xdr:rowOff>
    </xdr:from>
    <xdr:to>
      <xdr:col>13</xdr:col>
      <xdr:colOff>85725</xdr:colOff>
      <xdr:row>137</xdr:row>
      <xdr:rowOff>28575</xdr:rowOff>
    </xdr:to>
    <xdr:sp macro="" textlink="">
      <xdr:nvSpPr>
        <xdr:cNvPr id="462" name="Freeform 1234"/>
        <xdr:cNvSpPr>
          <a:spLocks/>
        </xdr:cNvSpPr>
      </xdr:nvSpPr>
      <xdr:spPr bwMode="auto">
        <a:xfrm>
          <a:off x="5076825" y="33356550"/>
          <a:ext cx="523875" cy="1104900"/>
        </a:xfrm>
        <a:custGeom>
          <a:avLst/>
          <a:gdLst/>
          <a:ahLst/>
          <a:cxnLst>
            <a:cxn ang="0">
              <a:pos x="25" y="0"/>
            </a:cxn>
            <a:cxn ang="0">
              <a:pos x="30" y="11"/>
            </a:cxn>
            <a:cxn ang="0">
              <a:pos x="25" y="24"/>
            </a:cxn>
            <a:cxn ang="0">
              <a:pos x="23" y="50"/>
            </a:cxn>
            <a:cxn ang="0">
              <a:pos x="24" y="77"/>
            </a:cxn>
            <a:cxn ang="0">
              <a:pos x="26" y="83"/>
            </a:cxn>
            <a:cxn ang="0">
              <a:pos x="24" y="100"/>
            </a:cxn>
            <a:cxn ang="0">
              <a:pos x="11" y="106"/>
            </a:cxn>
            <a:cxn ang="0">
              <a:pos x="6" y="90"/>
            </a:cxn>
            <a:cxn ang="0">
              <a:pos x="2" y="53"/>
            </a:cxn>
            <a:cxn ang="0">
              <a:pos x="6" y="38"/>
            </a:cxn>
            <a:cxn ang="0">
              <a:pos x="4" y="28"/>
            </a:cxn>
          </a:cxnLst>
          <a:rect l="0" t="0" r="r" b="b"/>
          <a:pathLst>
            <a:path w="35" h="106">
              <a:moveTo>
                <a:pt x="25" y="0"/>
              </a:moveTo>
              <a:cubicBezTo>
                <a:pt x="26" y="5"/>
                <a:pt x="28" y="6"/>
                <a:pt x="30" y="11"/>
              </a:cubicBezTo>
              <a:cubicBezTo>
                <a:pt x="32" y="39"/>
                <a:pt x="35" y="27"/>
                <a:pt x="25" y="24"/>
              </a:cubicBezTo>
              <a:cubicBezTo>
                <a:pt x="22" y="34"/>
                <a:pt x="23" y="29"/>
                <a:pt x="23" y="50"/>
              </a:cubicBezTo>
              <a:cubicBezTo>
                <a:pt x="23" y="59"/>
                <a:pt x="23" y="68"/>
                <a:pt x="24" y="77"/>
              </a:cubicBezTo>
              <a:cubicBezTo>
                <a:pt x="24" y="79"/>
                <a:pt x="26" y="83"/>
                <a:pt x="26" y="83"/>
              </a:cubicBezTo>
              <a:cubicBezTo>
                <a:pt x="27" y="89"/>
                <a:pt x="31" y="98"/>
                <a:pt x="24" y="100"/>
              </a:cubicBezTo>
              <a:cubicBezTo>
                <a:pt x="21" y="105"/>
                <a:pt x="16" y="104"/>
                <a:pt x="11" y="106"/>
              </a:cubicBezTo>
              <a:cubicBezTo>
                <a:pt x="0" y="104"/>
                <a:pt x="3" y="100"/>
                <a:pt x="6" y="90"/>
              </a:cubicBezTo>
              <a:cubicBezTo>
                <a:pt x="5" y="74"/>
                <a:pt x="9" y="64"/>
                <a:pt x="2" y="53"/>
              </a:cubicBezTo>
              <a:cubicBezTo>
                <a:pt x="3" y="46"/>
                <a:pt x="2" y="43"/>
                <a:pt x="6" y="38"/>
              </a:cubicBezTo>
              <a:cubicBezTo>
                <a:pt x="5" y="29"/>
                <a:pt x="6" y="32"/>
                <a:pt x="4" y="28"/>
              </a:cubicBezTo>
            </a:path>
          </a:pathLst>
        </a:custGeom>
        <a:solidFill>
          <a:srgbClr val="FF0000"/>
        </a:solidFill>
        <a:ln w="9525" cap="flat" cmpd="sng">
          <a:solidFill>
            <a:srgbClr val="000000"/>
          </a:solidFill>
          <a:prstDash val="solid"/>
          <a:round/>
          <a:headEnd/>
          <a:tailEnd/>
        </a:ln>
        <a:effectLst/>
      </xdr:spPr>
    </xdr:sp>
    <xdr:clientData/>
  </xdr:twoCellAnchor>
  <xdr:twoCellAnchor>
    <xdr:from>
      <xdr:col>10</xdr:col>
      <xdr:colOff>200025</xdr:colOff>
      <xdr:row>130</xdr:row>
      <xdr:rowOff>95250</xdr:rowOff>
    </xdr:from>
    <xdr:to>
      <xdr:col>12</xdr:col>
      <xdr:colOff>9525</xdr:colOff>
      <xdr:row>132</xdr:row>
      <xdr:rowOff>209550</xdr:rowOff>
    </xdr:to>
    <xdr:sp macro="" textlink="">
      <xdr:nvSpPr>
        <xdr:cNvPr id="463" name="Freeform 1235"/>
        <xdr:cNvSpPr>
          <a:spLocks/>
        </xdr:cNvSpPr>
      </xdr:nvSpPr>
      <xdr:spPr bwMode="auto">
        <a:xfrm>
          <a:off x="4400550" y="32642175"/>
          <a:ext cx="800100" cy="609600"/>
        </a:xfrm>
        <a:custGeom>
          <a:avLst/>
          <a:gdLst/>
          <a:ahLst/>
          <a:cxnLst>
            <a:cxn ang="0">
              <a:pos x="28" y="63"/>
            </a:cxn>
            <a:cxn ang="0">
              <a:pos x="10" y="58"/>
            </a:cxn>
            <a:cxn ang="0">
              <a:pos x="9" y="39"/>
            </a:cxn>
            <a:cxn ang="0">
              <a:pos x="12" y="22"/>
            </a:cxn>
            <a:cxn ang="0">
              <a:pos x="12" y="16"/>
            </a:cxn>
            <a:cxn ang="0">
              <a:pos x="18" y="12"/>
            </a:cxn>
            <a:cxn ang="0">
              <a:pos x="32" y="4"/>
            </a:cxn>
            <a:cxn ang="0">
              <a:pos x="38" y="5"/>
            </a:cxn>
            <a:cxn ang="0">
              <a:pos x="39" y="8"/>
            </a:cxn>
            <a:cxn ang="0">
              <a:pos x="44" y="4"/>
            </a:cxn>
            <a:cxn ang="0">
              <a:pos x="56" y="0"/>
            </a:cxn>
            <a:cxn ang="0">
              <a:pos x="60" y="5"/>
            </a:cxn>
            <a:cxn ang="0">
              <a:pos x="60" y="9"/>
            </a:cxn>
            <a:cxn ang="0">
              <a:pos x="67" y="16"/>
            </a:cxn>
            <a:cxn ang="0">
              <a:pos x="70" y="26"/>
            </a:cxn>
            <a:cxn ang="0">
              <a:pos x="76" y="44"/>
            </a:cxn>
            <a:cxn ang="0">
              <a:pos x="74" y="54"/>
            </a:cxn>
            <a:cxn ang="0">
              <a:pos x="69" y="59"/>
            </a:cxn>
            <a:cxn ang="0">
              <a:pos x="58" y="59"/>
            </a:cxn>
            <a:cxn ang="0">
              <a:pos x="60" y="41"/>
            </a:cxn>
            <a:cxn ang="0">
              <a:pos x="55" y="29"/>
            </a:cxn>
            <a:cxn ang="0">
              <a:pos x="47" y="16"/>
            </a:cxn>
            <a:cxn ang="0">
              <a:pos x="34" y="17"/>
            </a:cxn>
            <a:cxn ang="0">
              <a:pos x="23" y="23"/>
            </a:cxn>
            <a:cxn ang="0">
              <a:pos x="20" y="30"/>
            </a:cxn>
            <a:cxn ang="0">
              <a:pos x="17" y="37"/>
            </a:cxn>
            <a:cxn ang="0">
              <a:pos x="25" y="52"/>
            </a:cxn>
            <a:cxn ang="0">
              <a:pos x="26" y="61"/>
            </a:cxn>
            <a:cxn ang="0">
              <a:pos x="28" y="63"/>
            </a:cxn>
          </a:cxnLst>
          <a:rect l="0" t="0" r="r" b="b"/>
          <a:pathLst>
            <a:path w="76" h="64">
              <a:moveTo>
                <a:pt x="28" y="63"/>
              </a:moveTo>
              <a:cubicBezTo>
                <a:pt x="16" y="61"/>
                <a:pt x="25" y="59"/>
                <a:pt x="10" y="58"/>
              </a:cubicBezTo>
              <a:cubicBezTo>
                <a:pt x="9" y="51"/>
                <a:pt x="0" y="45"/>
                <a:pt x="9" y="39"/>
              </a:cubicBezTo>
              <a:cubicBezTo>
                <a:pt x="7" y="33"/>
                <a:pt x="11" y="28"/>
                <a:pt x="12" y="22"/>
              </a:cubicBezTo>
              <a:cubicBezTo>
                <a:pt x="11" y="20"/>
                <a:pt x="10" y="18"/>
                <a:pt x="12" y="16"/>
              </a:cubicBezTo>
              <a:cubicBezTo>
                <a:pt x="14" y="14"/>
                <a:pt x="18" y="12"/>
                <a:pt x="18" y="12"/>
              </a:cubicBezTo>
              <a:cubicBezTo>
                <a:pt x="20" y="9"/>
                <a:pt x="28" y="5"/>
                <a:pt x="32" y="4"/>
              </a:cubicBezTo>
              <a:cubicBezTo>
                <a:pt x="34" y="4"/>
                <a:pt x="36" y="4"/>
                <a:pt x="38" y="5"/>
              </a:cubicBezTo>
              <a:cubicBezTo>
                <a:pt x="39" y="6"/>
                <a:pt x="38" y="8"/>
                <a:pt x="39" y="8"/>
              </a:cubicBezTo>
              <a:cubicBezTo>
                <a:pt x="41" y="8"/>
                <a:pt x="42" y="5"/>
                <a:pt x="44" y="4"/>
              </a:cubicBezTo>
              <a:cubicBezTo>
                <a:pt x="54" y="6"/>
                <a:pt x="48" y="2"/>
                <a:pt x="56" y="0"/>
              </a:cubicBezTo>
              <a:cubicBezTo>
                <a:pt x="65" y="2"/>
                <a:pt x="50" y="8"/>
                <a:pt x="60" y="5"/>
              </a:cubicBezTo>
              <a:cubicBezTo>
                <a:pt x="70" y="7"/>
                <a:pt x="70" y="7"/>
                <a:pt x="60" y="9"/>
              </a:cubicBezTo>
              <a:cubicBezTo>
                <a:pt x="67" y="14"/>
                <a:pt x="65" y="11"/>
                <a:pt x="67" y="16"/>
              </a:cubicBezTo>
              <a:cubicBezTo>
                <a:pt x="66" y="21"/>
                <a:pt x="66" y="23"/>
                <a:pt x="70" y="26"/>
              </a:cubicBezTo>
              <a:cubicBezTo>
                <a:pt x="73" y="31"/>
                <a:pt x="74" y="38"/>
                <a:pt x="76" y="44"/>
              </a:cubicBezTo>
              <a:cubicBezTo>
                <a:pt x="75" y="48"/>
                <a:pt x="73" y="50"/>
                <a:pt x="74" y="54"/>
              </a:cubicBezTo>
              <a:cubicBezTo>
                <a:pt x="70" y="56"/>
                <a:pt x="63" y="55"/>
                <a:pt x="69" y="59"/>
              </a:cubicBezTo>
              <a:cubicBezTo>
                <a:pt x="66" y="61"/>
                <a:pt x="58" y="59"/>
                <a:pt x="58" y="59"/>
              </a:cubicBezTo>
              <a:cubicBezTo>
                <a:pt x="55" y="54"/>
                <a:pt x="60" y="41"/>
                <a:pt x="60" y="41"/>
              </a:cubicBezTo>
              <a:cubicBezTo>
                <a:pt x="58" y="36"/>
                <a:pt x="60" y="32"/>
                <a:pt x="55" y="29"/>
              </a:cubicBezTo>
              <a:cubicBezTo>
                <a:pt x="54" y="23"/>
                <a:pt x="53" y="18"/>
                <a:pt x="47" y="16"/>
              </a:cubicBezTo>
              <a:cubicBezTo>
                <a:pt x="42" y="17"/>
                <a:pt x="39" y="18"/>
                <a:pt x="34" y="17"/>
              </a:cubicBezTo>
              <a:cubicBezTo>
                <a:pt x="29" y="18"/>
                <a:pt x="27" y="19"/>
                <a:pt x="23" y="23"/>
              </a:cubicBezTo>
              <a:cubicBezTo>
                <a:pt x="25" y="28"/>
                <a:pt x="22" y="25"/>
                <a:pt x="20" y="30"/>
              </a:cubicBezTo>
              <a:cubicBezTo>
                <a:pt x="22" y="35"/>
                <a:pt x="19" y="32"/>
                <a:pt x="17" y="37"/>
              </a:cubicBezTo>
              <a:cubicBezTo>
                <a:pt x="18" y="41"/>
                <a:pt x="21" y="51"/>
                <a:pt x="25" y="52"/>
              </a:cubicBezTo>
              <a:cubicBezTo>
                <a:pt x="25" y="55"/>
                <a:pt x="25" y="58"/>
                <a:pt x="26" y="61"/>
              </a:cubicBezTo>
              <a:cubicBezTo>
                <a:pt x="27" y="64"/>
                <a:pt x="31" y="60"/>
                <a:pt x="28" y="63"/>
              </a:cubicBezTo>
              <a:close/>
            </a:path>
          </a:pathLst>
        </a:custGeom>
        <a:solidFill>
          <a:srgbClr val="993300"/>
        </a:solidFill>
        <a:ln w="9525" cap="flat" cmpd="sng">
          <a:solidFill>
            <a:srgbClr val="000000"/>
          </a:solidFill>
          <a:prstDash val="solid"/>
          <a:round/>
          <a:headEnd/>
          <a:tailEnd/>
        </a:ln>
        <a:effectLst/>
      </xdr:spPr>
    </xdr:sp>
    <xdr:clientData/>
  </xdr:twoCellAnchor>
  <xdr:twoCellAnchor>
    <xdr:from>
      <xdr:col>11</xdr:col>
      <xdr:colOff>200025</xdr:colOff>
      <xdr:row>131</xdr:row>
      <xdr:rowOff>104775</xdr:rowOff>
    </xdr:from>
    <xdr:to>
      <xdr:col>11</xdr:col>
      <xdr:colOff>266700</xdr:colOff>
      <xdr:row>131</xdr:row>
      <xdr:rowOff>228600</xdr:rowOff>
    </xdr:to>
    <xdr:sp macro="" textlink="">
      <xdr:nvSpPr>
        <xdr:cNvPr id="464" name="Freeform 1236"/>
        <xdr:cNvSpPr>
          <a:spLocks/>
        </xdr:cNvSpPr>
      </xdr:nvSpPr>
      <xdr:spPr bwMode="auto">
        <a:xfrm>
          <a:off x="4667250" y="32899350"/>
          <a:ext cx="66675" cy="123825"/>
        </a:xfrm>
        <a:custGeom>
          <a:avLst/>
          <a:gdLst/>
          <a:ahLst/>
          <a:cxnLst>
            <a:cxn ang="0">
              <a:pos x="0" y="10"/>
            </a:cxn>
            <a:cxn ang="0">
              <a:pos x="7" y="7"/>
            </a:cxn>
            <a:cxn ang="0">
              <a:pos x="0" y="10"/>
            </a:cxn>
          </a:cxnLst>
          <a:rect l="0" t="0" r="r" b="b"/>
          <a:pathLst>
            <a:path w="7" h="13">
              <a:moveTo>
                <a:pt x="0" y="10"/>
              </a:moveTo>
              <a:cubicBezTo>
                <a:pt x="1" y="2"/>
                <a:pt x="3" y="0"/>
                <a:pt x="7" y="7"/>
              </a:cubicBezTo>
              <a:cubicBezTo>
                <a:pt x="6" y="13"/>
                <a:pt x="7" y="11"/>
                <a:pt x="0" y="10"/>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11</xdr:col>
      <xdr:colOff>352425</xdr:colOff>
      <xdr:row>131</xdr:row>
      <xdr:rowOff>104775</xdr:rowOff>
    </xdr:from>
    <xdr:to>
      <xdr:col>11</xdr:col>
      <xdr:colOff>419100</xdr:colOff>
      <xdr:row>131</xdr:row>
      <xdr:rowOff>228600</xdr:rowOff>
    </xdr:to>
    <xdr:sp macro="" textlink="">
      <xdr:nvSpPr>
        <xdr:cNvPr id="465" name="Freeform 1237"/>
        <xdr:cNvSpPr>
          <a:spLocks/>
        </xdr:cNvSpPr>
      </xdr:nvSpPr>
      <xdr:spPr bwMode="auto">
        <a:xfrm>
          <a:off x="4819650" y="32899350"/>
          <a:ext cx="66675" cy="123825"/>
        </a:xfrm>
        <a:custGeom>
          <a:avLst/>
          <a:gdLst/>
          <a:ahLst/>
          <a:cxnLst>
            <a:cxn ang="0">
              <a:pos x="0" y="10"/>
            </a:cxn>
            <a:cxn ang="0">
              <a:pos x="7" y="7"/>
            </a:cxn>
            <a:cxn ang="0">
              <a:pos x="0" y="10"/>
            </a:cxn>
          </a:cxnLst>
          <a:rect l="0" t="0" r="r" b="b"/>
          <a:pathLst>
            <a:path w="7" h="13">
              <a:moveTo>
                <a:pt x="0" y="10"/>
              </a:moveTo>
              <a:cubicBezTo>
                <a:pt x="1" y="2"/>
                <a:pt x="3" y="0"/>
                <a:pt x="7" y="7"/>
              </a:cubicBezTo>
              <a:cubicBezTo>
                <a:pt x="6" y="13"/>
                <a:pt x="7" y="11"/>
                <a:pt x="0" y="10"/>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11</xdr:col>
      <xdr:colOff>171450</xdr:colOff>
      <xdr:row>131</xdr:row>
      <xdr:rowOff>76200</xdr:rowOff>
    </xdr:from>
    <xdr:to>
      <xdr:col>11</xdr:col>
      <xdr:colOff>266700</xdr:colOff>
      <xdr:row>131</xdr:row>
      <xdr:rowOff>114300</xdr:rowOff>
    </xdr:to>
    <xdr:sp macro="" textlink="">
      <xdr:nvSpPr>
        <xdr:cNvPr id="466" name="Freeform 1238"/>
        <xdr:cNvSpPr>
          <a:spLocks/>
        </xdr:cNvSpPr>
      </xdr:nvSpPr>
      <xdr:spPr bwMode="auto">
        <a:xfrm>
          <a:off x="4638675" y="32870775"/>
          <a:ext cx="95250" cy="38100"/>
        </a:xfrm>
        <a:custGeom>
          <a:avLst/>
          <a:gdLst/>
          <a:ahLst/>
          <a:cxnLst>
            <a:cxn ang="0">
              <a:pos x="10" y="1"/>
            </a:cxn>
            <a:cxn ang="0">
              <a:pos x="0" y="4"/>
            </a:cxn>
          </a:cxnLst>
          <a:rect l="0" t="0" r="r" b="b"/>
          <a:pathLst>
            <a:path w="10" h="4">
              <a:moveTo>
                <a:pt x="10" y="1"/>
              </a:moveTo>
              <a:cubicBezTo>
                <a:pt x="1" y="2"/>
                <a:pt x="4" y="0"/>
                <a:pt x="0" y="4"/>
              </a:cubicBezTo>
            </a:path>
          </a:pathLst>
        </a:custGeom>
        <a:noFill/>
        <a:ln w="19050" cap="flat" cmpd="sng">
          <a:solidFill>
            <a:srgbClr val="000000"/>
          </a:solidFill>
          <a:prstDash val="solid"/>
          <a:round/>
          <a:headEnd type="none" w="med" len="med"/>
          <a:tailEnd type="none" w="med" len="med"/>
        </a:ln>
        <a:effectLst/>
      </xdr:spPr>
    </xdr:sp>
    <xdr:clientData/>
  </xdr:twoCellAnchor>
  <xdr:twoCellAnchor>
    <xdr:from>
      <xdr:col>11</xdr:col>
      <xdr:colOff>352425</xdr:colOff>
      <xdr:row>131</xdr:row>
      <xdr:rowOff>76200</xdr:rowOff>
    </xdr:from>
    <xdr:to>
      <xdr:col>11</xdr:col>
      <xdr:colOff>438150</xdr:colOff>
      <xdr:row>131</xdr:row>
      <xdr:rowOff>85725</xdr:rowOff>
    </xdr:to>
    <xdr:sp macro="" textlink="">
      <xdr:nvSpPr>
        <xdr:cNvPr id="467" name="Freeform 1239"/>
        <xdr:cNvSpPr>
          <a:spLocks/>
        </xdr:cNvSpPr>
      </xdr:nvSpPr>
      <xdr:spPr bwMode="auto">
        <a:xfrm>
          <a:off x="4819650" y="32870775"/>
          <a:ext cx="85725" cy="9525"/>
        </a:xfrm>
        <a:custGeom>
          <a:avLst/>
          <a:gdLst/>
          <a:ahLst/>
          <a:cxnLst>
            <a:cxn ang="0">
              <a:pos x="0" y="0"/>
            </a:cxn>
            <a:cxn ang="0">
              <a:pos x="9" y="1"/>
            </a:cxn>
          </a:cxnLst>
          <a:rect l="0" t="0" r="r" b="b"/>
          <a:pathLst>
            <a:path w="9" h="1">
              <a:moveTo>
                <a:pt x="0" y="0"/>
              </a:moveTo>
              <a:cubicBezTo>
                <a:pt x="8" y="1"/>
                <a:pt x="5" y="1"/>
                <a:pt x="9" y="1"/>
              </a:cubicBezTo>
            </a:path>
          </a:pathLst>
        </a:custGeom>
        <a:noFill/>
        <a:ln w="19050" cap="flat" cmpd="sng">
          <a:solidFill>
            <a:srgbClr val="000000"/>
          </a:solidFill>
          <a:prstDash val="solid"/>
          <a:round/>
          <a:headEnd type="none" w="med" len="med"/>
          <a:tailEnd type="none" w="med" len="med"/>
        </a:ln>
        <a:effectLst/>
      </xdr:spPr>
    </xdr:sp>
    <xdr:clientData/>
  </xdr:twoCellAnchor>
  <xdr:twoCellAnchor>
    <xdr:from>
      <xdr:col>11</xdr:col>
      <xdr:colOff>247650</xdr:colOff>
      <xdr:row>132</xdr:row>
      <xdr:rowOff>66675</xdr:rowOff>
    </xdr:from>
    <xdr:to>
      <xdr:col>11</xdr:col>
      <xdr:colOff>409575</xdr:colOff>
      <xdr:row>132</xdr:row>
      <xdr:rowOff>114300</xdr:rowOff>
    </xdr:to>
    <xdr:sp macro="" textlink="">
      <xdr:nvSpPr>
        <xdr:cNvPr id="468" name="Freeform 1240"/>
        <xdr:cNvSpPr>
          <a:spLocks/>
        </xdr:cNvSpPr>
      </xdr:nvSpPr>
      <xdr:spPr bwMode="auto">
        <a:xfrm>
          <a:off x="4714875" y="33108900"/>
          <a:ext cx="161925" cy="47625"/>
        </a:xfrm>
        <a:custGeom>
          <a:avLst/>
          <a:gdLst/>
          <a:ahLst/>
          <a:cxnLst>
            <a:cxn ang="0">
              <a:pos x="0" y="1"/>
            </a:cxn>
            <a:cxn ang="0">
              <a:pos x="9" y="5"/>
            </a:cxn>
            <a:cxn ang="0">
              <a:pos x="10" y="1"/>
            </a:cxn>
            <a:cxn ang="0">
              <a:pos x="0" y="1"/>
            </a:cxn>
          </a:cxnLst>
          <a:rect l="0" t="0" r="r" b="b"/>
          <a:pathLst>
            <a:path w="17" h="5">
              <a:moveTo>
                <a:pt x="0" y="1"/>
              </a:moveTo>
              <a:cubicBezTo>
                <a:pt x="3" y="3"/>
                <a:pt x="9" y="5"/>
                <a:pt x="9" y="5"/>
              </a:cubicBezTo>
              <a:cubicBezTo>
                <a:pt x="14" y="4"/>
                <a:pt x="17" y="0"/>
                <a:pt x="10" y="1"/>
              </a:cubicBezTo>
              <a:cubicBezTo>
                <a:pt x="7" y="1"/>
                <a:pt x="3" y="1"/>
                <a:pt x="0" y="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11</xdr:col>
      <xdr:colOff>295275</xdr:colOff>
      <xdr:row>131</xdr:row>
      <xdr:rowOff>200025</xdr:rowOff>
    </xdr:from>
    <xdr:to>
      <xdr:col>11</xdr:col>
      <xdr:colOff>323850</xdr:colOff>
      <xdr:row>132</xdr:row>
      <xdr:rowOff>104775</xdr:rowOff>
    </xdr:to>
    <xdr:sp macro="" textlink="">
      <xdr:nvSpPr>
        <xdr:cNvPr id="469" name="Freeform 1241"/>
        <xdr:cNvSpPr>
          <a:spLocks/>
        </xdr:cNvSpPr>
      </xdr:nvSpPr>
      <xdr:spPr bwMode="auto">
        <a:xfrm>
          <a:off x="4762500" y="32994600"/>
          <a:ext cx="28575" cy="152400"/>
        </a:xfrm>
        <a:custGeom>
          <a:avLst/>
          <a:gdLst/>
          <a:ahLst/>
          <a:cxnLst>
            <a:cxn ang="0">
              <a:pos x="0" y="0"/>
            </a:cxn>
            <a:cxn ang="0">
              <a:pos x="0" y="0"/>
            </a:cxn>
          </a:cxnLst>
          <a:rect l="0" t="0" r="r" b="b"/>
          <a:pathLst>
            <a:path w="3" h="16">
              <a:moveTo>
                <a:pt x="0" y="0"/>
              </a:moveTo>
              <a:cubicBezTo>
                <a:pt x="2" y="16"/>
                <a:pt x="3" y="6"/>
                <a:pt x="0" y="0"/>
              </a:cubicBezTo>
              <a:close/>
            </a:path>
          </a:pathLst>
        </a:custGeom>
        <a:solidFill>
          <a:srgbClr val="FFCC00"/>
        </a:solidFill>
        <a:ln w="9525" cap="flat" cmpd="sng">
          <a:solidFill>
            <a:srgbClr val="000000"/>
          </a:solidFill>
          <a:prstDash val="solid"/>
          <a:round/>
          <a:headEnd/>
          <a:tailEnd/>
        </a:ln>
        <a:effectLst/>
      </xdr:spPr>
    </xdr:sp>
    <xdr:clientData/>
  </xdr:twoCellAnchor>
  <xdr:twoCellAnchor>
    <xdr:from>
      <xdr:col>12</xdr:col>
      <xdr:colOff>95250</xdr:colOff>
      <xdr:row>136</xdr:row>
      <xdr:rowOff>352425</xdr:rowOff>
    </xdr:from>
    <xdr:to>
      <xdr:col>13</xdr:col>
      <xdr:colOff>114300</xdr:colOff>
      <xdr:row>138</xdr:row>
      <xdr:rowOff>114300</xdr:rowOff>
    </xdr:to>
    <xdr:sp macro="" textlink="">
      <xdr:nvSpPr>
        <xdr:cNvPr id="470" name="Freeform 1242"/>
        <xdr:cNvSpPr>
          <a:spLocks/>
        </xdr:cNvSpPr>
      </xdr:nvSpPr>
      <xdr:spPr bwMode="auto">
        <a:xfrm>
          <a:off x="5286375" y="34432875"/>
          <a:ext cx="342900" cy="361950"/>
        </a:xfrm>
        <a:custGeom>
          <a:avLst/>
          <a:gdLst/>
          <a:ahLst/>
          <a:cxnLst>
            <a:cxn ang="0">
              <a:pos x="0" y="4"/>
            </a:cxn>
            <a:cxn ang="0">
              <a:pos x="6" y="21"/>
            </a:cxn>
            <a:cxn ang="0">
              <a:pos x="12" y="29"/>
            </a:cxn>
            <a:cxn ang="0">
              <a:pos x="10" y="0"/>
            </a:cxn>
          </a:cxnLst>
          <a:rect l="0" t="0" r="r" b="b"/>
          <a:pathLst>
            <a:path w="23" h="29">
              <a:moveTo>
                <a:pt x="0" y="4"/>
              </a:moveTo>
              <a:cubicBezTo>
                <a:pt x="1" y="9"/>
                <a:pt x="1" y="19"/>
                <a:pt x="6" y="21"/>
              </a:cubicBezTo>
              <a:cubicBezTo>
                <a:pt x="8" y="12"/>
                <a:pt x="7" y="27"/>
                <a:pt x="12" y="29"/>
              </a:cubicBezTo>
              <a:cubicBezTo>
                <a:pt x="23" y="18"/>
                <a:pt x="10" y="9"/>
                <a:pt x="10" y="0"/>
              </a:cubicBezTo>
            </a:path>
          </a:pathLst>
        </a:custGeom>
        <a:solidFill>
          <a:srgbClr val="FFCC00"/>
        </a:solidFill>
        <a:ln w="9525" cap="flat" cmpd="sng">
          <a:solidFill>
            <a:srgbClr val="000000"/>
          </a:solidFill>
          <a:prstDash val="solid"/>
          <a:round/>
          <a:headEnd/>
          <a:tailEnd/>
        </a:ln>
        <a:effectLst/>
      </xdr:spPr>
    </xdr:sp>
    <xdr:clientData/>
  </xdr:twoCellAnchor>
  <xdr:twoCellAnchor>
    <xdr:from>
      <xdr:col>11</xdr:col>
      <xdr:colOff>209550</xdr:colOff>
      <xdr:row>131</xdr:row>
      <xdr:rowOff>123825</xdr:rowOff>
    </xdr:from>
    <xdr:to>
      <xdr:col>11</xdr:col>
      <xdr:colOff>304800</xdr:colOff>
      <xdr:row>131</xdr:row>
      <xdr:rowOff>200025</xdr:rowOff>
    </xdr:to>
    <xdr:sp macro="" textlink="">
      <xdr:nvSpPr>
        <xdr:cNvPr id="471" name="Freeform 1243"/>
        <xdr:cNvSpPr>
          <a:spLocks/>
        </xdr:cNvSpPr>
      </xdr:nvSpPr>
      <xdr:spPr bwMode="auto">
        <a:xfrm>
          <a:off x="4676775" y="32918400"/>
          <a:ext cx="95250" cy="76200"/>
        </a:xfrm>
        <a:custGeom>
          <a:avLst/>
          <a:gdLst/>
          <a:ahLst/>
          <a:cxnLst>
            <a:cxn ang="0">
              <a:pos x="0" y="6"/>
            </a:cxn>
            <a:cxn ang="0">
              <a:pos x="3" y="4"/>
            </a:cxn>
            <a:cxn ang="0">
              <a:pos x="1" y="7"/>
            </a:cxn>
            <a:cxn ang="0">
              <a:pos x="4" y="6"/>
            </a:cxn>
            <a:cxn ang="0">
              <a:pos x="0" y="6"/>
            </a:cxn>
          </a:cxnLst>
          <a:rect l="0" t="0" r="r" b="b"/>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11</xdr:col>
      <xdr:colOff>361950</xdr:colOff>
      <xdr:row>131</xdr:row>
      <xdr:rowOff>133350</xdr:rowOff>
    </xdr:from>
    <xdr:to>
      <xdr:col>11</xdr:col>
      <xdr:colOff>457200</xdr:colOff>
      <xdr:row>131</xdr:row>
      <xdr:rowOff>209550</xdr:rowOff>
    </xdr:to>
    <xdr:sp macro="" textlink="">
      <xdr:nvSpPr>
        <xdr:cNvPr id="472" name="Freeform 1244"/>
        <xdr:cNvSpPr>
          <a:spLocks/>
        </xdr:cNvSpPr>
      </xdr:nvSpPr>
      <xdr:spPr bwMode="auto">
        <a:xfrm>
          <a:off x="4829175" y="32927925"/>
          <a:ext cx="95250" cy="76200"/>
        </a:xfrm>
        <a:custGeom>
          <a:avLst/>
          <a:gdLst/>
          <a:ahLst/>
          <a:cxnLst>
            <a:cxn ang="0">
              <a:pos x="0" y="6"/>
            </a:cxn>
            <a:cxn ang="0">
              <a:pos x="3" y="4"/>
            </a:cxn>
            <a:cxn ang="0">
              <a:pos x="1" y="7"/>
            </a:cxn>
            <a:cxn ang="0">
              <a:pos x="4" y="6"/>
            </a:cxn>
            <a:cxn ang="0">
              <a:pos x="0" y="6"/>
            </a:cxn>
          </a:cxnLst>
          <a:rect l="0" t="0" r="r" b="b"/>
          <a:pathLst>
            <a:path w="10" h="8">
              <a:moveTo>
                <a:pt x="0" y="6"/>
              </a:moveTo>
              <a:cubicBezTo>
                <a:pt x="1" y="5"/>
                <a:pt x="2" y="3"/>
                <a:pt x="3" y="4"/>
              </a:cubicBezTo>
              <a:cubicBezTo>
                <a:pt x="4" y="5"/>
                <a:pt x="0" y="6"/>
                <a:pt x="1" y="7"/>
              </a:cubicBezTo>
              <a:cubicBezTo>
                <a:pt x="1" y="8"/>
                <a:pt x="3" y="6"/>
                <a:pt x="4" y="6"/>
              </a:cubicBezTo>
              <a:cubicBezTo>
                <a:pt x="0" y="0"/>
                <a:pt x="10" y="6"/>
                <a:pt x="0" y="6"/>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10</xdr:col>
      <xdr:colOff>209550</xdr:colOff>
      <xdr:row>137</xdr:row>
      <xdr:rowOff>114300</xdr:rowOff>
    </xdr:from>
    <xdr:to>
      <xdr:col>13</xdr:col>
      <xdr:colOff>9525</xdr:colOff>
      <xdr:row>142</xdr:row>
      <xdr:rowOff>209550</xdr:rowOff>
    </xdr:to>
    <xdr:sp macro="" textlink="">
      <xdr:nvSpPr>
        <xdr:cNvPr id="473" name="Freeform 1245"/>
        <xdr:cNvSpPr>
          <a:spLocks/>
        </xdr:cNvSpPr>
      </xdr:nvSpPr>
      <xdr:spPr bwMode="auto">
        <a:xfrm>
          <a:off x="4410075" y="34547175"/>
          <a:ext cx="1114425" cy="1333500"/>
        </a:xfrm>
        <a:custGeom>
          <a:avLst/>
          <a:gdLst/>
          <a:ahLst/>
          <a:cxnLst>
            <a:cxn ang="0">
              <a:pos x="7" y="0"/>
            </a:cxn>
            <a:cxn ang="0">
              <a:pos x="1" y="28"/>
            </a:cxn>
            <a:cxn ang="0">
              <a:pos x="5" y="67"/>
            </a:cxn>
            <a:cxn ang="0">
              <a:pos x="4" y="102"/>
            </a:cxn>
            <a:cxn ang="0">
              <a:pos x="0" y="108"/>
            </a:cxn>
            <a:cxn ang="0">
              <a:pos x="10" y="124"/>
            </a:cxn>
            <a:cxn ang="0">
              <a:pos x="22" y="121"/>
            </a:cxn>
            <a:cxn ang="0">
              <a:pos x="33" y="127"/>
            </a:cxn>
            <a:cxn ang="0">
              <a:pos x="39" y="104"/>
            </a:cxn>
            <a:cxn ang="0">
              <a:pos x="43" y="88"/>
            </a:cxn>
            <a:cxn ang="0">
              <a:pos x="44" y="84"/>
            </a:cxn>
            <a:cxn ang="0">
              <a:pos x="43" y="45"/>
            </a:cxn>
            <a:cxn ang="0">
              <a:pos x="44" y="56"/>
            </a:cxn>
            <a:cxn ang="0">
              <a:pos x="47" y="58"/>
            </a:cxn>
            <a:cxn ang="0">
              <a:pos x="53" y="85"/>
            </a:cxn>
            <a:cxn ang="0">
              <a:pos x="65" y="127"/>
            </a:cxn>
            <a:cxn ang="0">
              <a:pos x="85" y="120"/>
            </a:cxn>
            <a:cxn ang="0">
              <a:pos x="95" y="116"/>
            </a:cxn>
            <a:cxn ang="0">
              <a:pos x="91" y="82"/>
            </a:cxn>
            <a:cxn ang="0">
              <a:pos x="87" y="65"/>
            </a:cxn>
            <a:cxn ang="0">
              <a:pos x="80" y="42"/>
            </a:cxn>
            <a:cxn ang="0">
              <a:pos x="75" y="30"/>
            </a:cxn>
            <a:cxn ang="0">
              <a:pos x="72" y="2"/>
            </a:cxn>
          </a:cxnLst>
          <a:rect l="0" t="0" r="r" b="b"/>
          <a:pathLst>
            <a:path w="96" h="127">
              <a:moveTo>
                <a:pt x="7" y="0"/>
              </a:moveTo>
              <a:cubicBezTo>
                <a:pt x="6" y="18"/>
                <a:pt x="5" y="16"/>
                <a:pt x="1" y="28"/>
              </a:cubicBezTo>
              <a:cubicBezTo>
                <a:pt x="2" y="41"/>
                <a:pt x="5" y="54"/>
                <a:pt x="5" y="67"/>
              </a:cubicBezTo>
              <a:cubicBezTo>
                <a:pt x="5" y="79"/>
                <a:pt x="5" y="90"/>
                <a:pt x="4" y="102"/>
              </a:cubicBezTo>
              <a:cubicBezTo>
                <a:pt x="4" y="104"/>
                <a:pt x="0" y="108"/>
                <a:pt x="0" y="108"/>
              </a:cubicBezTo>
              <a:cubicBezTo>
                <a:pt x="1" y="121"/>
                <a:pt x="2" y="118"/>
                <a:pt x="10" y="124"/>
              </a:cubicBezTo>
              <a:cubicBezTo>
                <a:pt x="14" y="123"/>
                <a:pt x="18" y="122"/>
                <a:pt x="22" y="121"/>
              </a:cubicBezTo>
              <a:cubicBezTo>
                <a:pt x="28" y="122"/>
                <a:pt x="29" y="123"/>
                <a:pt x="33" y="127"/>
              </a:cubicBezTo>
              <a:cubicBezTo>
                <a:pt x="43" y="125"/>
                <a:pt x="38" y="114"/>
                <a:pt x="39" y="104"/>
              </a:cubicBezTo>
              <a:cubicBezTo>
                <a:pt x="40" y="99"/>
                <a:pt x="42" y="93"/>
                <a:pt x="43" y="88"/>
              </a:cubicBezTo>
              <a:cubicBezTo>
                <a:pt x="43" y="87"/>
                <a:pt x="44" y="84"/>
                <a:pt x="44" y="84"/>
              </a:cubicBezTo>
              <a:cubicBezTo>
                <a:pt x="44" y="71"/>
                <a:pt x="43" y="58"/>
                <a:pt x="43" y="45"/>
              </a:cubicBezTo>
              <a:cubicBezTo>
                <a:pt x="43" y="41"/>
                <a:pt x="43" y="52"/>
                <a:pt x="44" y="56"/>
              </a:cubicBezTo>
              <a:cubicBezTo>
                <a:pt x="44" y="57"/>
                <a:pt x="46" y="57"/>
                <a:pt x="47" y="58"/>
              </a:cubicBezTo>
              <a:cubicBezTo>
                <a:pt x="50" y="67"/>
                <a:pt x="50" y="76"/>
                <a:pt x="53" y="85"/>
              </a:cubicBezTo>
              <a:cubicBezTo>
                <a:pt x="54" y="97"/>
                <a:pt x="54" y="119"/>
                <a:pt x="65" y="127"/>
              </a:cubicBezTo>
              <a:cubicBezTo>
                <a:pt x="72" y="126"/>
                <a:pt x="78" y="122"/>
                <a:pt x="85" y="120"/>
              </a:cubicBezTo>
              <a:cubicBezTo>
                <a:pt x="91" y="121"/>
                <a:pt x="93" y="122"/>
                <a:pt x="95" y="116"/>
              </a:cubicBezTo>
              <a:cubicBezTo>
                <a:pt x="95" y="105"/>
                <a:pt x="96" y="92"/>
                <a:pt x="91" y="82"/>
              </a:cubicBezTo>
              <a:cubicBezTo>
                <a:pt x="90" y="76"/>
                <a:pt x="89" y="70"/>
                <a:pt x="87" y="65"/>
              </a:cubicBezTo>
              <a:cubicBezTo>
                <a:pt x="86" y="57"/>
                <a:pt x="88" y="47"/>
                <a:pt x="80" y="42"/>
              </a:cubicBezTo>
              <a:cubicBezTo>
                <a:pt x="75" y="33"/>
                <a:pt x="77" y="37"/>
                <a:pt x="75" y="30"/>
              </a:cubicBezTo>
              <a:cubicBezTo>
                <a:pt x="75" y="23"/>
                <a:pt x="72" y="10"/>
                <a:pt x="72" y="2"/>
              </a:cubicBezTo>
            </a:path>
          </a:pathLst>
        </a:custGeom>
        <a:solidFill>
          <a:srgbClr val="00CCFF"/>
        </a:solidFill>
        <a:ln w="9525" cap="flat" cmpd="sng">
          <a:solidFill>
            <a:srgbClr val="000000"/>
          </a:solidFill>
          <a:prstDash val="solid"/>
          <a:round/>
          <a:headEnd/>
          <a:tailEnd/>
        </a:ln>
        <a:effectLst/>
      </xdr:spPr>
    </xdr:sp>
    <xdr:clientData/>
  </xdr:twoCellAnchor>
  <xdr:twoCellAnchor>
    <xdr:from>
      <xdr:col>11</xdr:col>
      <xdr:colOff>47625</xdr:colOff>
      <xdr:row>138</xdr:row>
      <xdr:rowOff>28575</xdr:rowOff>
    </xdr:from>
    <xdr:to>
      <xdr:col>11</xdr:col>
      <xdr:colOff>238125</xdr:colOff>
      <xdr:row>139</xdr:row>
      <xdr:rowOff>0</xdr:rowOff>
    </xdr:to>
    <xdr:sp macro="" textlink="">
      <xdr:nvSpPr>
        <xdr:cNvPr id="474" name="Freeform 1246"/>
        <xdr:cNvSpPr>
          <a:spLocks/>
        </xdr:cNvSpPr>
      </xdr:nvSpPr>
      <xdr:spPr bwMode="auto">
        <a:xfrm>
          <a:off x="4514850" y="34709100"/>
          <a:ext cx="190500" cy="219075"/>
        </a:xfrm>
        <a:custGeom>
          <a:avLst/>
          <a:gdLst/>
          <a:ahLst/>
          <a:cxnLst>
            <a:cxn ang="0">
              <a:pos x="4" y="11"/>
            </a:cxn>
            <a:cxn ang="0">
              <a:pos x="15" y="21"/>
            </a:cxn>
            <a:cxn ang="0">
              <a:pos x="15" y="0"/>
            </a:cxn>
            <a:cxn ang="0">
              <a:pos x="4" y="11"/>
            </a:cxn>
          </a:cxnLst>
          <a:rect l="0" t="0" r="r" b="b"/>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11</xdr:col>
      <xdr:colOff>419100</xdr:colOff>
      <xdr:row>138</xdr:row>
      <xdr:rowOff>19050</xdr:rowOff>
    </xdr:from>
    <xdr:to>
      <xdr:col>11</xdr:col>
      <xdr:colOff>609600</xdr:colOff>
      <xdr:row>138</xdr:row>
      <xdr:rowOff>238125</xdr:rowOff>
    </xdr:to>
    <xdr:sp macro="" textlink="">
      <xdr:nvSpPr>
        <xdr:cNvPr id="475" name="Freeform 1247"/>
        <xdr:cNvSpPr>
          <a:spLocks/>
        </xdr:cNvSpPr>
      </xdr:nvSpPr>
      <xdr:spPr bwMode="auto">
        <a:xfrm>
          <a:off x="4886325" y="34699575"/>
          <a:ext cx="190500" cy="219075"/>
        </a:xfrm>
        <a:custGeom>
          <a:avLst/>
          <a:gdLst/>
          <a:ahLst/>
          <a:cxnLst>
            <a:cxn ang="0">
              <a:pos x="4" y="11"/>
            </a:cxn>
            <a:cxn ang="0">
              <a:pos x="15" y="21"/>
            </a:cxn>
            <a:cxn ang="0">
              <a:pos x="15" y="0"/>
            </a:cxn>
            <a:cxn ang="0">
              <a:pos x="4" y="11"/>
            </a:cxn>
          </a:cxnLst>
          <a:rect l="0" t="0" r="r" b="b"/>
          <a:pathLst>
            <a:path w="20" h="23">
              <a:moveTo>
                <a:pt x="4" y="11"/>
              </a:moveTo>
              <a:cubicBezTo>
                <a:pt x="6" y="22"/>
                <a:pt x="5" y="23"/>
                <a:pt x="15" y="21"/>
              </a:cubicBezTo>
              <a:cubicBezTo>
                <a:pt x="20" y="14"/>
                <a:pt x="17" y="8"/>
                <a:pt x="15" y="0"/>
              </a:cubicBezTo>
              <a:cubicBezTo>
                <a:pt x="0" y="3"/>
                <a:pt x="4" y="0"/>
                <a:pt x="4" y="11"/>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9</xdr:col>
      <xdr:colOff>352425</xdr:colOff>
      <xdr:row>142</xdr:row>
      <xdr:rowOff>123825</xdr:rowOff>
    </xdr:from>
    <xdr:to>
      <xdr:col>11</xdr:col>
      <xdr:colOff>285750</xdr:colOff>
      <xdr:row>144</xdr:row>
      <xdr:rowOff>238125</xdr:rowOff>
    </xdr:to>
    <xdr:sp macro="" textlink="">
      <xdr:nvSpPr>
        <xdr:cNvPr id="476" name="Freeform 1248"/>
        <xdr:cNvSpPr>
          <a:spLocks/>
        </xdr:cNvSpPr>
      </xdr:nvSpPr>
      <xdr:spPr bwMode="auto">
        <a:xfrm>
          <a:off x="4152900" y="35794950"/>
          <a:ext cx="600075" cy="609600"/>
        </a:xfrm>
        <a:custGeom>
          <a:avLst/>
          <a:gdLst/>
          <a:ahLst/>
          <a:cxnLst>
            <a:cxn ang="0">
              <a:pos x="34" y="0"/>
            </a:cxn>
            <a:cxn ang="0">
              <a:pos x="28" y="25"/>
            </a:cxn>
            <a:cxn ang="0">
              <a:pos x="8" y="48"/>
            </a:cxn>
            <a:cxn ang="0">
              <a:pos x="0" y="57"/>
            </a:cxn>
            <a:cxn ang="0">
              <a:pos x="14" y="64"/>
            </a:cxn>
            <a:cxn ang="0">
              <a:pos x="39" y="56"/>
            </a:cxn>
            <a:cxn ang="0">
              <a:pos x="54" y="60"/>
            </a:cxn>
            <a:cxn ang="0">
              <a:pos x="56" y="5"/>
            </a:cxn>
          </a:cxnLst>
          <a:rect l="0" t="0" r="r" b="b"/>
          <a:pathLst>
            <a:path w="61" h="64">
              <a:moveTo>
                <a:pt x="34" y="0"/>
              </a:moveTo>
              <a:cubicBezTo>
                <a:pt x="33" y="13"/>
                <a:pt x="37" y="19"/>
                <a:pt x="28" y="25"/>
              </a:cubicBezTo>
              <a:cubicBezTo>
                <a:pt x="24" y="40"/>
                <a:pt x="23" y="43"/>
                <a:pt x="8" y="48"/>
              </a:cubicBezTo>
              <a:cubicBezTo>
                <a:pt x="6" y="52"/>
                <a:pt x="3" y="54"/>
                <a:pt x="0" y="57"/>
              </a:cubicBezTo>
              <a:cubicBezTo>
                <a:pt x="2" y="62"/>
                <a:pt x="9" y="63"/>
                <a:pt x="14" y="64"/>
              </a:cubicBezTo>
              <a:cubicBezTo>
                <a:pt x="38" y="63"/>
                <a:pt x="24" y="61"/>
                <a:pt x="39" y="56"/>
              </a:cubicBezTo>
              <a:cubicBezTo>
                <a:pt x="45" y="57"/>
                <a:pt x="48" y="58"/>
                <a:pt x="54" y="60"/>
              </a:cubicBezTo>
              <a:cubicBezTo>
                <a:pt x="61" y="59"/>
                <a:pt x="56" y="6"/>
                <a:pt x="56" y="5"/>
              </a:cubicBezTo>
            </a:path>
          </a:pathLst>
        </a:custGeom>
        <a:solidFill>
          <a:srgbClr val="99CC00"/>
        </a:solidFill>
        <a:ln w="9525" cap="flat" cmpd="sng">
          <a:solidFill>
            <a:srgbClr val="000000"/>
          </a:solidFill>
          <a:prstDash val="solid"/>
          <a:round/>
          <a:headEnd/>
          <a:tailEnd/>
        </a:ln>
        <a:effectLst/>
      </xdr:spPr>
    </xdr:sp>
    <xdr:clientData/>
  </xdr:twoCellAnchor>
  <xdr:twoCellAnchor>
    <xdr:from>
      <xdr:col>11</xdr:col>
      <xdr:colOff>590550</xdr:colOff>
      <xdr:row>142</xdr:row>
      <xdr:rowOff>171450</xdr:rowOff>
    </xdr:from>
    <xdr:to>
      <xdr:col>13</xdr:col>
      <xdr:colOff>371475</xdr:colOff>
      <xdr:row>144</xdr:row>
      <xdr:rowOff>209550</xdr:rowOff>
    </xdr:to>
    <xdr:sp macro="" textlink="">
      <xdr:nvSpPr>
        <xdr:cNvPr id="477" name="Freeform 1249"/>
        <xdr:cNvSpPr>
          <a:spLocks/>
        </xdr:cNvSpPr>
      </xdr:nvSpPr>
      <xdr:spPr bwMode="auto">
        <a:xfrm>
          <a:off x="5057775" y="35842575"/>
          <a:ext cx="828675" cy="533400"/>
        </a:xfrm>
        <a:custGeom>
          <a:avLst/>
          <a:gdLst/>
          <a:ahLst/>
          <a:cxnLst>
            <a:cxn ang="0">
              <a:pos x="0" y="5"/>
            </a:cxn>
            <a:cxn ang="0">
              <a:pos x="4" y="11"/>
            </a:cxn>
            <a:cxn ang="0">
              <a:pos x="5" y="25"/>
            </a:cxn>
            <a:cxn ang="0">
              <a:pos x="6" y="28"/>
            </a:cxn>
            <a:cxn ang="0">
              <a:pos x="9" y="49"/>
            </a:cxn>
            <a:cxn ang="0">
              <a:pos x="18" y="53"/>
            </a:cxn>
            <a:cxn ang="0">
              <a:pos x="34" y="52"/>
            </a:cxn>
            <a:cxn ang="0">
              <a:pos x="43" y="56"/>
            </a:cxn>
            <a:cxn ang="0">
              <a:pos x="56" y="55"/>
            </a:cxn>
            <a:cxn ang="0">
              <a:pos x="62" y="51"/>
            </a:cxn>
            <a:cxn ang="0">
              <a:pos x="36" y="25"/>
            </a:cxn>
            <a:cxn ang="0">
              <a:pos x="26" y="14"/>
            </a:cxn>
            <a:cxn ang="0">
              <a:pos x="24" y="0"/>
            </a:cxn>
          </a:cxnLst>
          <a:rect l="0" t="0" r="r" b="b"/>
          <a:pathLst>
            <a:path w="66" h="56">
              <a:moveTo>
                <a:pt x="0" y="5"/>
              </a:moveTo>
              <a:cubicBezTo>
                <a:pt x="0" y="6"/>
                <a:pt x="4" y="11"/>
                <a:pt x="4" y="11"/>
              </a:cubicBezTo>
              <a:cubicBezTo>
                <a:pt x="5" y="16"/>
                <a:pt x="4" y="20"/>
                <a:pt x="5" y="25"/>
              </a:cubicBezTo>
              <a:cubicBezTo>
                <a:pt x="5" y="26"/>
                <a:pt x="6" y="27"/>
                <a:pt x="6" y="28"/>
              </a:cubicBezTo>
              <a:cubicBezTo>
                <a:pt x="6" y="31"/>
                <a:pt x="6" y="45"/>
                <a:pt x="9" y="49"/>
              </a:cubicBezTo>
              <a:cubicBezTo>
                <a:pt x="11" y="52"/>
                <a:pt x="18" y="53"/>
                <a:pt x="18" y="53"/>
              </a:cubicBezTo>
              <a:cubicBezTo>
                <a:pt x="25" y="52"/>
                <a:pt x="27" y="51"/>
                <a:pt x="34" y="52"/>
              </a:cubicBezTo>
              <a:cubicBezTo>
                <a:pt x="37" y="54"/>
                <a:pt x="43" y="56"/>
                <a:pt x="43" y="56"/>
              </a:cubicBezTo>
              <a:cubicBezTo>
                <a:pt x="47" y="56"/>
                <a:pt x="52" y="56"/>
                <a:pt x="56" y="55"/>
              </a:cubicBezTo>
              <a:cubicBezTo>
                <a:pt x="58" y="54"/>
                <a:pt x="62" y="51"/>
                <a:pt x="62" y="51"/>
              </a:cubicBezTo>
              <a:cubicBezTo>
                <a:pt x="66" y="38"/>
                <a:pt x="47" y="30"/>
                <a:pt x="36" y="25"/>
              </a:cubicBezTo>
              <a:cubicBezTo>
                <a:pt x="34" y="19"/>
                <a:pt x="31" y="17"/>
                <a:pt x="26" y="14"/>
              </a:cubicBezTo>
              <a:cubicBezTo>
                <a:pt x="24" y="9"/>
                <a:pt x="24" y="5"/>
                <a:pt x="24" y="0"/>
              </a:cubicBezTo>
            </a:path>
          </a:pathLst>
        </a:custGeom>
        <a:solidFill>
          <a:srgbClr val="99CC00"/>
        </a:solidFill>
        <a:ln w="9525" cap="flat" cmpd="sng">
          <a:solidFill>
            <a:srgbClr val="000000"/>
          </a:solidFill>
          <a:prstDash val="solid"/>
          <a:round/>
          <a:headEnd/>
          <a:tailEnd/>
        </a:ln>
        <a:effectLst/>
      </xdr:spPr>
    </xdr:sp>
    <xdr:clientData/>
  </xdr:twoCellAnchor>
  <xdr:twoCellAnchor>
    <xdr:from>
      <xdr:col>11</xdr:col>
      <xdr:colOff>114300</xdr:colOff>
      <xdr:row>140</xdr:row>
      <xdr:rowOff>95250</xdr:rowOff>
    </xdr:from>
    <xdr:to>
      <xdr:col>11</xdr:col>
      <xdr:colOff>266700</xdr:colOff>
      <xdr:row>141</xdr:row>
      <xdr:rowOff>104775</xdr:rowOff>
    </xdr:to>
    <xdr:sp macro="" textlink="">
      <xdr:nvSpPr>
        <xdr:cNvPr id="478" name="Oval 1250"/>
        <xdr:cNvSpPr>
          <a:spLocks noChangeArrowheads="1"/>
        </xdr:cNvSpPr>
      </xdr:nvSpPr>
      <xdr:spPr bwMode="auto">
        <a:xfrm>
          <a:off x="4581525" y="35271075"/>
          <a:ext cx="152400" cy="257175"/>
        </a:xfrm>
        <a:prstGeom prst="ellipse">
          <a:avLst/>
        </a:prstGeom>
        <a:solidFill>
          <a:srgbClr val="FFCC00"/>
        </a:solidFill>
        <a:ln w="9525">
          <a:solidFill>
            <a:srgbClr val="000000"/>
          </a:solidFill>
          <a:round/>
          <a:headEnd/>
          <a:tailEnd/>
        </a:ln>
        <a:effectLst/>
      </xdr:spPr>
    </xdr:sp>
    <xdr:clientData/>
  </xdr:twoCellAnchor>
  <xdr:twoCellAnchor>
    <xdr:from>
      <xdr:col>11</xdr:col>
      <xdr:colOff>561975</xdr:colOff>
      <xdr:row>140</xdr:row>
      <xdr:rowOff>85725</xdr:rowOff>
    </xdr:from>
    <xdr:to>
      <xdr:col>12</xdr:col>
      <xdr:colOff>66675</xdr:colOff>
      <xdr:row>141</xdr:row>
      <xdr:rowOff>95250</xdr:rowOff>
    </xdr:to>
    <xdr:sp macro="" textlink="">
      <xdr:nvSpPr>
        <xdr:cNvPr id="479" name="Oval 1251"/>
        <xdr:cNvSpPr>
          <a:spLocks noChangeArrowheads="1"/>
        </xdr:cNvSpPr>
      </xdr:nvSpPr>
      <xdr:spPr bwMode="auto">
        <a:xfrm>
          <a:off x="5029200" y="35261550"/>
          <a:ext cx="228600" cy="257175"/>
        </a:xfrm>
        <a:prstGeom prst="ellipse">
          <a:avLst/>
        </a:prstGeom>
        <a:solidFill>
          <a:srgbClr val="FFCC00"/>
        </a:solidFill>
        <a:ln w="9525">
          <a:solidFill>
            <a:srgbClr val="000000"/>
          </a:solidFill>
          <a:round/>
          <a:headEnd/>
          <a:tailEnd/>
        </a:ln>
        <a:effectLst/>
      </xdr:spPr>
    </xdr:sp>
    <xdr:clientData/>
  </xdr:twoCellAnchor>
  <xdr:twoCellAnchor>
    <xdr:from>
      <xdr:col>13</xdr:col>
      <xdr:colOff>200025</xdr:colOff>
      <xdr:row>130</xdr:row>
      <xdr:rowOff>114300</xdr:rowOff>
    </xdr:from>
    <xdr:to>
      <xdr:col>14</xdr:col>
      <xdr:colOff>304800</xdr:colOff>
      <xdr:row>137</xdr:row>
      <xdr:rowOff>142875</xdr:rowOff>
    </xdr:to>
    <xdr:sp macro="" textlink="">
      <xdr:nvSpPr>
        <xdr:cNvPr id="480" name="Freeform 1252"/>
        <xdr:cNvSpPr>
          <a:spLocks/>
        </xdr:cNvSpPr>
      </xdr:nvSpPr>
      <xdr:spPr bwMode="auto">
        <a:xfrm>
          <a:off x="5715000" y="32661225"/>
          <a:ext cx="790575" cy="1914525"/>
        </a:xfrm>
        <a:custGeom>
          <a:avLst/>
          <a:gdLst/>
          <a:ahLst/>
          <a:cxnLst>
            <a:cxn ang="0">
              <a:pos x="0" y="5"/>
            </a:cxn>
            <a:cxn ang="0">
              <a:pos x="25" y="11"/>
            </a:cxn>
            <a:cxn ang="0">
              <a:pos x="32" y="27"/>
            </a:cxn>
            <a:cxn ang="0">
              <a:pos x="31" y="53"/>
            </a:cxn>
            <a:cxn ang="0">
              <a:pos x="29" y="61"/>
            </a:cxn>
            <a:cxn ang="0">
              <a:pos x="60" y="94"/>
            </a:cxn>
            <a:cxn ang="0">
              <a:pos x="73" y="103"/>
            </a:cxn>
            <a:cxn ang="0">
              <a:pos x="76" y="106"/>
            </a:cxn>
            <a:cxn ang="0">
              <a:pos x="81" y="118"/>
            </a:cxn>
            <a:cxn ang="0">
              <a:pos x="67" y="149"/>
            </a:cxn>
            <a:cxn ang="0">
              <a:pos x="35" y="170"/>
            </a:cxn>
            <a:cxn ang="0">
              <a:pos x="58" y="183"/>
            </a:cxn>
            <a:cxn ang="0">
              <a:pos x="61" y="191"/>
            </a:cxn>
            <a:cxn ang="0">
              <a:pos x="26" y="184"/>
            </a:cxn>
            <a:cxn ang="0">
              <a:pos x="27" y="173"/>
            </a:cxn>
            <a:cxn ang="0">
              <a:pos x="63" y="153"/>
            </a:cxn>
            <a:cxn ang="0">
              <a:pos x="75" y="142"/>
            </a:cxn>
            <a:cxn ang="0">
              <a:pos x="65" y="103"/>
            </a:cxn>
            <a:cxn ang="0">
              <a:pos x="48" y="98"/>
            </a:cxn>
            <a:cxn ang="0">
              <a:pos x="37" y="93"/>
            </a:cxn>
            <a:cxn ang="0">
              <a:pos x="26" y="78"/>
            </a:cxn>
            <a:cxn ang="0">
              <a:pos x="20" y="17"/>
            </a:cxn>
            <a:cxn ang="0">
              <a:pos x="12" y="4"/>
            </a:cxn>
            <a:cxn ang="0">
              <a:pos x="0" y="5"/>
            </a:cxn>
          </a:cxnLst>
          <a:rect l="0" t="0" r="r" b="b"/>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13</xdr:col>
      <xdr:colOff>352425</xdr:colOff>
      <xdr:row>131</xdr:row>
      <xdr:rowOff>19050</xdr:rowOff>
    </xdr:from>
    <xdr:to>
      <xdr:col>14</xdr:col>
      <xdr:colOff>457200</xdr:colOff>
      <xdr:row>138</xdr:row>
      <xdr:rowOff>142875</xdr:rowOff>
    </xdr:to>
    <xdr:sp macro="" textlink="">
      <xdr:nvSpPr>
        <xdr:cNvPr id="481" name="Freeform 1253"/>
        <xdr:cNvSpPr>
          <a:spLocks/>
        </xdr:cNvSpPr>
      </xdr:nvSpPr>
      <xdr:spPr bwMode="auto">
        <a:xfrm>
          <a:off x="5867400" y="32813625"/>
          <a:ext cx="666750" cy="2009775"/>
        </a:xfrm>
        <a:custGeom>
          <a:avLst/>
          <a:gdLst/>
          <a:ahLst/>
          <a:cxnLst>
            <a:cxn ang="0">
              <a:pos x="0" y="5"/>
            </a:cxn>
            <a:cxn ang="0">
              <a:pos x="25" y="11"/>
            </a:cxn>
            <a:cxn ang="0">
              <a:pos x="32" y="27"/>
            </a:cxn>
            <a:cxn ang="0">
              <a:pos x="31" y="53"/>
            </a:cxn>
            <a:cxn ang="0">
              <a:pos x="29" y="61"/>
            </a:cxn>
            <a:cxn ang="0">
              <a:pos x="60" y="94"/>
            </a:cxn>
            <a:cxn ang="0">
              <a:pos x="73" y="103"/>
            </a:cxn>
            <a:cxn ang="0">
              <a:pos x="76" y="106"/>
            </a:cxn>
            <a:cxn ang="0">
              <a:pos x="81" y="118"/>
            </a:cxn>
            <a:cxn ang="0">
              <a:pos x="67" y="149"/>
            </a:cxn>
            <a:cxn ang="0">
              <a:pos x="35" y="170"/>
            </a:cxn>
            <a:cxn ang="0">
              <a:pos x="58" y="183"/>
            </a:cxn>
            <a:cxn ang="0">
              <a:pos x="61" y="191"/>
            </a:cxn>
            <a:cxn ang="0">
              <a:pos x="26" y="184"/>
            </a:cxn>
            <a:cxn ang="0">
              <a:pos x="27" y="173"/>
            </a:cxn>
            <a:cxn ang="0">
              <a:pos x="63" y="153"/>
            </a:cxn>
            <a:cxn ang="0">
              <a:pos x="75" y="142"/>
            </a:cxn>
            <a:cxn ang="0">
              <a:pos x="65" y="103"/>
            </a:cxn>
            <a:cxn ang="0">
              <a:pos x="48" y="98"/>
            </a:cxn>
            <a:cxn ang="0">
              <a:pos x="37" y="93"/>
            </a:cxn>
            <a:cxn ang="0">
              <a:pos x="26" y="78"/>
            </a:cxn>
            <a:cxn ang="0">
              <a:pos x="20" y="17"/>
            </a:cxn>
            <a:cxn ang="0">
              <a:pos x="12" y="4"/>
            </a:cxn>
            <a:cxn ang="0">
              <a:pos x="0" y="5"/>
            </a:cxn>
          </a:cxnLst>
          <a:rect l="0" t="0" r="r" b="b"/>
          <a:pathLst>
            <a:path w="83" h="191">
              <a:moveTo>
                <a:pt x="0" y="5"/>
              </a:moveTo>
              <a:cubicBezTo>
                <a:pt x="13" y="6"/>
                <a:pt x="15" y="6"/>
                <a:pt x="25" y="11"/>
              </a:cubicBezTo>
              <a:cubicBezTo>
                <a:pt x="28" y="17"/>
                <a:pt x="31" y="21"/>
                <a:pt x="32" y="27"/>
              </a:cubicBezTo>
              <a:cubicBezTo>
                <a:pt x="32" y="36"/>
                <a:pt x="32" y="44"/>
                <a:pt x="31" y="53"/>
              </a:cubicBezTo>
              <a:cubicBezTo>
                <a:pt x="31" y="56"/>
                <a:pt x="29" y="61"/>
                <a:pt x="29" y="61"/>
              </a:cubicBezTo>
              <a:cubicBezTo>
                <a:pt x="31" y="83"/>
                <a:pt x="37" y="92"/>
                <a:pt x="60" y="94"/>
              </a:cubicBezTo>
              <a:cubicBezTo>
                <a:pt x="66" y="96"/>
                <a:pt x="68" y="98"/>
                <a:pt x="73" y="103"/>
              </a:cubicBezTo>
              <a:cubicBezTo>
                <a:pt x="74" y="104"/>
                <a:pt x="76" y="106"/>
                <a:pt x="76" y="106"/>
              </a:cubicBezTo>
              <a:cubicBezTo>
                <a:pt x="77" y="110"/>
                <a:pt x="81" y="118"/>
                <a:pt x="81" y="118"/>
              </a:cubicBezTo>
              <a:cubicBezTo>
                <a:pt x="80" y="134"/>
                <a:pt x="81" y="142"/>
                <a:pt x="67" y="149"/>
              </a:cubicBezTo>
              <a:cubicBezTo>
                <a:pt x="63" y="157"/>
                <a:pt x="44" y="165"/>
                <a:pt x="35" y="170"/>
              </a:cubicBezTo>
              <a:cubicBezTo>
                <a:pt x="26" y="184"/>
                <a:pt x="50" y="182"/>
                <a:pt x="58" y="183"/>
              </a:cubicBezTo>
              <a:cubicBezTo>
                <a:pt x="62" y="186"/>
                <a:pt x="62" y="187"/>
                <a:pt x="61" y="191"/>
              </a:cubicBezTo>
              <a:cubicBezTo>
                <a:pt x="36" y="188"/>
                <a:pt x="51" y="187"/>
                <a:pt x="26" y="184"/>
              </a:cubicBezTo>
              <a:cubicBezTo>
                <a:pt x="26" y="180"/>
                <a:pt x="26" y="177"/>
                <a:pt x="27" y="173"/>
              </a:cubicBezTo>
              <a:cubicBezTo>
                <a:pt x="29" y="167"/>
                <a:pt x="56" y="155"/>
                <a:pt x="63" y="153"/>
              </a:cubicBezTo>
              <a:cubicBezTo>
                <a:pt x="67" y="150"/>
                <a:pt x="71" y="146"/>
                <a:pt x="75" y="142"/>
              </a:cubicBezTo>
              <a:cubicBezTo>
                <a:pt x="74" y="114"/>
                <a:pt x="83" y="110"/>
                <a:pt x="65" y="103"/>
              </a:cubicBezTo>
              <a:cubicBezTo>
                <a:pt x="61" y="94"/>
                <a:pt x="65" y="100"/>
                <a:pt x="48" y="98"/>
              </a:cubicBezTo>
              <a:cubicBezTo>
                <a:pt x="44" y="98"/>
                <a:pt x="37" y="93"/>
                <a:pt x="37" y="93"/>
              </a:cubicBezTo>
              <a:cubicBezTo>
                <a:pt x="33" y="85"/>
                <a:pt x="33" y="83"/>
                <a:pt x="26" y="78"/>
              </a:cubicBezTo>
              <a:cubicBezTo>
                <a:pt x="26" y="70"/>
                <a:pt x="33" y="22"/>
                <a:pt x="20" y="17"/>
              </a:cubicBezTo>
              <a:cubicBezTo>
                <a:pt x="19" y="0"/>
                <a:pt x="23" y="0"/>
                <a:pt x="12" y="4"/>
              </a:cubicBezTo>
              <a:cubicBezTo>
                <a:pt x="11" y="4"/>
                <a:pt x="0" y="1"/>
                <a:pt x="0" y="5"/>
              </a:cubicBezTo>
              <a:close/>
            </a:path>
          </a:pathLst>
        </a:custGeom>
        <a:solidFill>
          <a:srgbClr val="00CCFF"/>
        </a:solidFill>
        <a:ln w="9525" cap="flat" cmpd="sng">
          <a:solidFill>
            <a:srgbClr val="000000"/>
          </a:solidFill>
          <a:prstDash val="solid"/>
          <a:round/>
          <a:headEnd/>
          <a:tailEnd/>
        </a:ln>
        <a:effectLst/>
      </xdr:spPr>
    </xdr:sp>
    <xdr:clientData/>
  </xdr:twoCellAnchor>
  <xdr:twoCellAnchor>
    <xdr:from>
      <xdr:col>11</xdr:col>
      <xdr:colOff>142875</xdr:colOff>
      <xdr:row>136</xdr:row>
      <xdr:rowOff>171450</xdr:rowOff>
    </xdr:from>
    <xdr:to>
      <xdr:col>14</xdr:col>
      <xdr:colOff>76200</xdr:colOff>
      <xdr:row>142</xdr:row>
      <xdr:rowOff>238125</xdr:rowOff>
    </xdr:to>
    <xdr:sp macro="" textlink="">
      <xdr:nvSpPr>
        <xdr:cNvPr id="482" name="Freeform 1254"/>
        <xdr:cNvSpPr>
          <a:spLocks/>
        </xdr:cNvSpPr>
      </xdr:nvSpPr>
      <xdr:spPr bwMode="auto">
        <a:xfrm>
          <a:off x="4610100" y="34280475"/>
          <a:ext cx="1666875" cy="1628775"/>
        </a:xfrm>
        <a:custGeom>
          <a:avLst/>
          <a:gdLst/>
          <a:ahLst/>
          <a:cxnLst>
            <a:cxn ang="0">
              <a:pos x="105" y="3"/>
            </a:cxn>
            <a:cxn ang="0">
              <a:pos x="97" y="5"/>
            </a:cxn>
            <a:cxn ang="0">
              <a:pos x="91" y="17"/>
            </a:cxn>
            <a:cxn ang="0">
              <a:pos x="71" y="46"/>
            </a:cxn>
            <a:cxn ang="0">
              <a:pos x="62" y="52"/>
            </a:cxn>
            <a:cxn ang="0">
              <a:pos x="55" y="69"/>
            </a:cxn>
            <a:cxn ang="0">
              <a:pos x="47" y="92"/>
            </a:cxn>
            <a:cxn ang="0">
              <a:pos x="15" y="120"/>
            </a:cxn>
            <a:cxn ang="0">
              <a:pos x="11" y="123"/>
            </a:cxn>
            <a:cxn ang="0">
              <a:pos x="13" y="131"/>
            </a:cxn>
            <a:cxn ang="0">
              <a:pos x="0" y="145"/>
            </a:cxn>
            <a:cxn ang="0">
              <a:pos x="9" y="146"/>
            </a:cxn>
            <a:cxn ang="0">
              <a:pos x="19" y="130"/>
            </a:cxn>
            <a:cxn ang="0">
              <a:pos x="29" y="119"/>
            </a:cxn>
            <a:cxn ang="0">
              <a:pos x="37" y="115"/>
            </a:cxn>
            <a:cxn ang="0">
              <a:pos x="54" y="92"/>
            </a:cxn>
            <a:cxn ang="0">
              <a:pos x="74" y="52"/>
            </a:cxn>
            <a:cxn ang="0">
              <a:pos x="93" y="46"/>
            </a:cxn>
            <a:cxn ang="0">
              <a:pos x="116" y="9"/>
            </a:cxn>
            <a:cxn ang="0">
              <a:pos x="110" y="7"/>
            </a:cxn>
            <a:cxn ang="0">
              <a:pos x="105" y="3"/>
            </a:cxn>
          </a:cxnLst>
          <a:rect l="0" t="0" r="r" b="b"/>
          <a:pathLst>
            <a:path w="123" h="148">
              <a:moveTo>
                <a:pt x="105" y="3"/>
              </a:moveTo>
              <a:cubicBezTo>
                <a:pt x="102" y="4"/>
                <a:pt x="99" y="3"/>
                <a:pt x="97" y="5"/>
              </a:cubicBezTo>
              <a:cubicBezTo>
                <a:pt x="94" y="8"/>
                <a:pt x="91" y="17"/>
                <a:pt x="91" y="17"/>
              </a:cubicBezTo>
              <a:cubicBezTo>
                <a:pt x="90" y="42"/>
                <a:pt x="91" y="41"/>
                <a:pt x="71" y="46"/>
              </a:cubicBezTo>
              <a:cubicBezTo>
                <a:pt x="68" y="48"/>
                <a:pt x="66" y="51"/>
                <a:pt x="62" y="52"/>
              </a:cubicBezTo>
              <a:cubicBezTo>
                <a:pt x="59" y="58"/>
                <a:pt x="58" y="64"/>
                <a:pt x="55" y="69"/>
              </a:cubicBezTo>
              <a:cubicBezTo>
                <a:pt x="53" y="77"/>
                <a:pt x="52" y="85"/>
                <a:pt x="47" y="92"/>
              </a:cubicBezTo>
              <a:cubicBezTo>
                <a:pt x="44" y="104"/>
                <a:pt x="26" y="116"/>
                <a:pt x="15" y="120"/>
              </a:cubicBezTo>
              <a:cubicBezTo>
                <a:pt x="14" y="121"/>
                <a:pt x="11" y="121"/>
                <a:pt x="11" y="123"/>
              </a:cubicBezTo>
              <a:cubicBezTo>
                <a:pt x="11" y="126"/>
                <a:pt x="13" y="131"/>
                <a:pt x="13" y="131"/>
              </a:cubicBezTo>
              <a:cubicBezTo>
                <a:pt x="9" y="136"/>
                <a:pt x="4" y="139"/>
                <a:pt x="0" y="145"/>
              </a:cubicBezTo>
              <a:cubicBezTo>
                <a:pt x="7" y="147"/>
                <a:pt x="4" y="148"/>
                <a:pt x="9" y="146"/>
              </a:cubicBezTo>
              <a:cubicBezTo>
                <a:pt x="13" y="140"/>
                <a:pt x="15" y="136"/>
                <a:pt x="19" y="130"/>
              </a:cubicBezTo>
              <a:cubicBezTo>
                <a:pt x="17" y="121"/>
                <a:pt x="21" y="122"/>
                <a:pt x="29" y="119"/>
              </a:cubicBezTo>
              <a:cubicBezTo>
                <a:pt x="32" y="118"/>
                <a:pt x="37" y="115"/>
                <a:pt x="37" y="115"/>
              </a:cubicBezTo>
              <a:cubicBezTo>
                <a:pt x="42" y="107"/>
                <a:pt x="49" y="100"/>
                <a:pt x="54" y="92"/>
              </a:cubicBezTo>
              <a:cubicBezTo>
                <a:pt x="55" y="77"/>
                <a:pt x="60" y="59"/>
                <a:pt x="74" y="52"/>
              </a:cubicBezTo>
              <a:cubicBezTo>
                <a:pt x="76" y="46"/>
                <a:pt x="93" y="46"/>
                <a:pt x="93" y="46"/>
              </a:cubicBezTo>
              <a:cubicBezTo>
                <a:pt x="104" y="14"/>
                <a:pt x="82" y="13"/>
                <a:pt x="116" y="9"/>
              </a:cubicBezTo>
              <a:cubicBezTo>
                <a:pt x="123" y="0"/>
                <a:pt x="114" y="6"/>
                <a:pt x="110" y="7"/>
              </a:cubicBezTo>
              <a:cubicBezTo>
                <a:pt x="106" y="3"/>
                <a:pt x="108" y="5"/>
                <a:pt x="105" y="3"/>
              </a:cubicBezTo>
              <a:close/>
            </a:path>
          </a:pathLst>
        </a:custGeom>
        <a:solidFill>
          <a:srgbClr val="FF0000"/>
        </a:solidFill>
        <a:ln w="9525" cap="flat" cmpd="sng">
          <a:solidFill>
            <a:srgbClr val="000000"/>
          </a:solidFill>
          <a:prstDash val="solid"/>
          <a:round/>
          <a:headEnd/>
          <a:tailEnd/>
        </a:ln>
        <a:effectLst/>
      </xdr:spPr>
    </xdr:sp>
    <xdr:clientData/>
  </xdr:twoCellAnchor>
  <xdr:twoCellAnchor>
    <xdr:from>
      <xdr:col>11</xdr:col>
      <xdr:colOff>161925</xdr:colOff>
      <xdr:row>129</xdr:row>
      <xdr:rowOff>133350</xdr:rowOff>
    </xdr:from>
    <xdr:to>
      <xdr:col>11</xdr:col>
      <xdr:colOff>561975</xdr:colOff>
      <xdr:row>130</xdr:row>
      <xdr:rowOff>209550</xdr:rowOff>
    </xdr:to>
    <xdr:sp macro="" textlink="">
      <xdr:nvSpPr>
        <xdr:cNvPr id="483" name="Freeform 1255"/>
        <xdr:cNvSpPr>
          <a:spLocks/>
        </xdr:cNvSpPr>
      </xdr:nvSpPr>
      <xdr:spPr bwMode="auto">
        <a:xfrm>
          <a:off x="4629150" y="32432625"/>
          <a:ext cx="400050" cy="323850"/>
        </a:xfrm>
        <a:custGeom>
          <a:avLst/>
          <a:gdLst/>
          <a:ahLst/>
          <a:cxnLst>
            <a:cxn ang="0">
              <a:pos x="3" y="22"/>
            </a:cxn>
            <a:cxn ang="0">
              <a:pos x="18" y="0"/>
            </a:cxn>
            <a:cxn ang="0">
              <a:pos x="40" y="11"/>
            </a:cxn>
            <a:cxn ang="0">
              <a:pos x="3" y="22"/>
            </a:cxn>
          </a:cxnLst>
          <a:rect l="0" t="0" r="r" b="b"/>
          <a:pathLst>
            <a:path w="42" h="34">
              <a:moveTo>
                <a:pt x="3" y="22"/>
              </a:moveTo>
              <a:cubicBezTo>
                <a:pt x="0" y="11"/>
                <a:pt x="8" y="3"/>
                <a:pt x="18" y="0"/>
              </a:cubicBezTo>
              <a:cubicBezTo>
                <a:pt x="28" y="1"/>
                <a:pt x="36" y="0"/>
                <a:pt x="40" y="11"/>
              </a:cubicBezTo>
              <a:cubicBezTo>
                <a:pt x="42" y="34"/>
                <a:pt x="26" y="23"/>
                <a:pt x="3" y="22"/>
              </a:cubicBezTo>
              <a:close/>
            </a:path>
          </a:pathLst>
        </a:custGeom>
        <a:solidFill>
          <a:srgbClr val="3366FF"/>
        </a:solidFill>
        <a:ln w="9525" cap="flat" cmpd="sng">
          <a:solidFill>
            <a:srgbClr val="000000"/>
          </a:solidFill>
          <a:prstDash val="solid"/>
          <a:round/>
          <a:headEnd/>
          <a:tailEnd/>
        </a:ln>
        <a:effectLst/>
      </xdr:spPr>
    </xdr:sp>
    <xdr:clientData/>
  </xdr:twoCellAnchor>
  <xdr:twoCellAnchor>
    <xdr:from>
      <xdr:col>10</xdr:col>
      <xdr:colOff>200025</xdr:colOff>
      <xdr:row>130</xdr:row>
      <xdr:rowOff>95250</xdr:rowOff>
    </xdr:from>
    <xdr:to>
      <xdr:col>12</xdr:col>
      <xdr:colOff>85725</xdr:colOff>
      <xdr:row>131</xdr:row>
      <xdr:rowOff>85725</xdr:rowOff>
    </xdr:to>
    <xdr:sp macro="" textlink="">
      <xdr:nvSpPr>
        <xdr:cNvPr id="484" name="AutoShape 1256"/>
        <xdr:cNvSpPr>
          <a:spLocks noChangeArrowheads="1"/>
        </xdr:cNvSpPr>
      </xdr:nvSpPr>
      <xdr:spPr bwMode="auto">
        <a:xfrm>
          <a:off x="4400550" y="32642175"/>
          <a:ext cx="876300" cy="238125"/>
        </a:xfrm>
        <a:custGeom>
          <a:avLst/>
          <a:gdLst>
            <a:gd name="G0" fmla="+- 5400 0 0"/>
            <a:gd name="G1" fmla="+- 11796480 0 0"/>
            <a:gd name="G2" fmla="+- 0 0 11796480"/>
            <a:gd name="T0" fmla="*/ 0 256 1"/>
            <a:gd name="T1" fmla="*/ 180 256 1"/>
            <a:gd name="G3" fmla="+- 11796480 T0 T1"/>
            <a:gd name="T2" fmla="*/ 0 256 1"/>
            <a:gd name="T3" fmla="*/ 90 256 1"/>
            <a:gd name="G4" fmla="+- 11796480 T2 T3"/>
            <a:gd name="G5" fmla="*/ G4 2 1"/>
            <a:gd name="T4" fmla="*/ 90 256 1"/>
            <a:gd name="T5" fmla="*/ 0 256 1"/>
            <a:gd name="G6" fmla="+- 11796480 T4 T5"/>
            <a:gd name="G7" fmla="*/ G6 2 1"/>
            <a:gd name="G8" fmla="abs 11796480"/>
            <a:gd name="T6" fmla="*/ 0 256 1"/>
            <a:gd name="T7" fmla="*/ 90 256 1"/>
            <a:gd name="G9" fmla="+- G8 T6 T7"/>
            <a:gd name="G10" fmla="?: G9 G7 G5"/>
            <a:gd name="T8" fmla="*/ 0 256 1"/>
            <a:gd name="T9" fmla="*/ 360 256 1"/>
            <a:gd name="G11" fmla="+- G10 T8 T9"/>
            <a:gd name="G12" fmla="?: G10 G11 G10"/>
            <a:gd name="T10" fmla="*/ 0 256 1"/>
            <a:gd name="T11" fmla="*/ 360 256 1"/>
            <a:gd name="G13" fmla="+- G12 T10 T11"/>
            <a:gd name="G14" fmla="?: G12 G13 G12"/>
            <a:gd name="G15" fmla="+- 0 0 G14"/>
            <a:gd name="G16" fmla="+- 10800 0 0"/>
            <a:gd name="G17" fmla="+- 10800 0 5400"/>
            <a:gd name="G18" fmla="*/ 5400 1 2"/>
            <a:gd name="G19" fmla="+- G18 5400 0"/>
            <a:gd name="G20" fmla="cos G19 11796480"/>
            <a:gd name="G21" fmla="sin G19 11796480"/>
            <a:gd name="G22" fmla="+- G20 10800 0"/>
            <a:gd name="G23" fmla="+- G21 10800 0"/>
            <a:gd name="G24" fmla="+- 10800 0 G20"/>
            <a:gd name="G25" fmla="+- 5400 10800 0"/>
            <a:gd name="G26" fmla="?: G9 G17 G25"/>
            <a:gd name="G27" fmla="?: G9 0 21600"/>
            <a:gd name="G28" fmla="cos 10800 11796480"/>
            <a:gd name="G29" fmla="sin 10800 11796480"/>
            <a:gd name="G30" fmla="sin 5400 11796480"/>
            <a:gd name="G31" fmla="+- G28 10800 0"/>
            <a:gd name="G32" fmla="+- G29 10800 0"/>
            <a:gd name="G33" fmla="+- G30 10800 0"/>
            <a:gd name="G34" fmla="?: G4 0 G31"/>
            <a:gd name="G35" fmla="?: 11796480 G34 0"/>
            <a:gd name="G36" fmla="?: G6 G35 G31"/>
            <a:gd name="G37" fmla="+- 21600 0 G36"/>
            <a:gd name="G38" fmla="?: G4 0 G33"/>
            <a:gd name="G39" fmla="?: 11796480 G38 G32"/>
            <a:gd name="G40" fmla="?: G6 G39 0"/>
            <a:gd name="G41" fmla="?: G4 G32 21600"/>
            <a:gd name="G42" fmla="?: G6 G41 G33"/>
            <a:gd name="T12" fmla="*/ 10800 w 21600"/>
            <a:gd name="T13" fmla="*/ 0 h 21600"/>
            <a:gd name="T14" fmla="*/ 2700 w 21600"/>
            <a:gd name="T15" fmla="*/ 10800 h 21600"/>
            <a:gd name="T16" fmla="*/ 10800 w 21600"/>
            <a:gd name="T17" fmla="*/ 5400 h 21600"/>
            <a:gd name="T18" fmla="*/ 18900 w 21600"/>
            <a:gd name="T19" fmla="*/ 10800 h 21600"/>
            <a:gd name="T20" fmla="*/ G36 w 21600"/>
            <a:gd name="T21" fmla="*/ G40 h 21600"/>
            <a:gd name="T22" fmla="*/ G37 w 21600"/>
            <a:gd name="T23" fmla="*/ G42 h 21600"/>
          </a:gdLst>
          <a:ahLst/>
          <a:cxnLst>
            <a:cxn ang="0">
              <a:pos x="T12" y="T13"/>
            </a:cxn>
            <a:cxn ang="0">
              <a:pos x="T14" y="T15"/>
            </a:cxn>
            <a:cxn ang="0">
              <a:pos x="T16" y="T17"/>
            </a:cxn>
            <a:cxn ang="0">
              <a:pos x="T18" y="T19"/>
            </a:cxn>
          </a:cxnLst>
          <a:rect l="T20" t="T21" r="T22" b="T23"/>
          <a:pathLst>
            <a:path w="21600" h="21600">
              <a:moveTo>
                <a:pt x="5400" y="10800"/>
              </a:moveTo>
              <a:cubicBezTo>
                <a:pt x="5400" y="7817"/>
                <a:pt x="7817" y="5400"/>
                <a:pt x="10800" y="5400"/>
              </a:cubicBezTo>
              <a:cubicBezTo>
                <a:pt x="13782" y="5399"/>
                <a:pt x="16199" y="7817"/>
                <a:pt x="16200" y="10799"/>
              </a:cubicBezTo>
              <a:lnTo>
                <a:pt x="21600" y="10800"/>
              </a:lnTo>
              <a:cubicBezTo>
                <a:pt x="21600" y="4835"/>
                <a:pt x="16764" y="0"/>
                <a:pt x="10800" y="0"/>
              </a:cubicBezTo>
              <a:cubicBezTo>
                <a:pt x="4835" y="0"/>
                <a:pt x="0" y="4835"/>
                <a:pt x="0" y="10800"/>
              </a:cubicBezTo>
              <a:close/>
            </a:path>
          </a:pathLst>
        </a:custGeom>
        <a:solidFill>
          <a:srgbClr val="3366FF"/>
        </a:solidFill>
        <a:ln w="9525">
          <a:solidFill>
            <a:srgbClr val="000000"/>
          </a:solidFill>
          <a:miter lim="800000"/>
          <a:headEnd/>
          <a:tailEnd/>
        </a:ln>
        <a:effectLst/>
      </xdr:spPr>
    </xdr:sp>
    <xdr:clientData/>
  </xdr:twoCellAnchor>
  <xdr:twoCellAnchor>
    <xdr:from>
      <xdr:col>10</xdr:col>
      <xdr:colOff>85725</xdr:colOff>
      <xdr:row>142</xdr:row>
      <xdr:rowOff>180975</xdr:rowOff>
    </xdr:from>
    <xdr:to>
      <xdr:col>11</xdr:col>
      <xdr:colOff>104775</xdr:colOff>
      <xdr:row>144</xdr:row>
      <xdr:rowOff>95250</xdr:rowOff>
    </xdr:to>
    <xdr:sp macro="" textlink="">
      <xdr:nvSpPr>
        <xdr:cNvPr id="485" name="Freeform 1257"/>
        <xdr:cNvSpPr>
          <a:spLocks/>
        </xdr:cNvSpPr>
      </xdr:nvSpPr>
      <xdr:spPr bwMode="auto">
        <a:xfrm>
          <a:off x="4286250" y="35852100"/>
          <a:ext cx="285750" cy="409575"/>
        </a:xfrm>
        <a:custGeom>
          <a:avLst/>
          <a:gdLst/>
          <a:ahLst/>
          <a:cxnLst>
            <a:cxn ang="0">
              <a:pos x="29" y="2"/>
            </a:cxn>
            <a:cxn ang="0">
              <a:pos x="24" y="20"/>
            </a:cxn>
            <a:cxn ang="0">
              <a:pos x="2" y="43"/>
            </a:cxn>
            <a:cxn ang="0">
              <a:pos x="1" y="40"/>
            </a:cxn>
            <a:cxn ang="0">
              <a:pos x="13" y="36"/>
            </a:cxn>
            <a:cxn ang="0">
              <a:pos x="19" y="25"/>
            </a:cxn>
            <a:cxn ang="0">
              <a:pos x="25" y="0"/>
            </a:cxn>
            <a:cxn ang="0">
              <a:pos x="29" y="2"/>
            </a:cxn>
          </a:cxnLst>
          <a:rect l="0" t="0" r="r" b="b"/>
          <a:pathLst>
            <a:path w="30" h="43">
              <a:moveTo>
                <a:pt x="29" y="2"/>
              </a:moveTo>
              <a:cubicBezTo>
                <a:pt x="28" y="11"/>
                <a:pt x="30" y="14"/>
                <a:pt x="24" y="20"/>
              </a:cubicBezTo>
              <a:cubicBezTo>
                <a:pt x="20" y="37"/>
                <a:pt x="20" y="39"/>
                <a:pt x="2" y="43"/>
              </a:cubicBezTo>
              <a:cubicBezTo>
                <a:pt x="2" y="42"/>
                <a:pt x="0" y="41"/>
                <a:pt x="1" y="40"/>
              </a:cubicBezTo>
              <a:cubicBezTo>
                <a:pt x="4" y="37"/>
                <a:pt x="13" y="36"/>
                <a:pt x="13" y="36"/>
              </a:cubicBezTo>
              <a:cubicBezTo>
                <a:pt x="15" y="30"/>
                <a:pt x="14" y="28"/>
                <a:pt x="19" y="25"/>
              </a:cubicBezTo>
              <a:cubicBezTo>
                <a:pt x="22" y="17"/>
                <a:pt x="22" y="8"/>
                <a:pt x="25" y="0"/>
              </a:cubicBezTo>
              <a:cubicBezTo>
                <a:pt x="28" y="1"/>
                <a:pt x="27" y="0"/>
                <a:pt x="29" y="2"/>
              </a:cubicBezTo>
              <a:close/>
            </a:path>
          </a:pathLst>
        </a:custGeom>
        <a:solidFill>
          <a:srgbClr val="000000"/>
        </a:solidFill>
        <a:ln w="9525" cap="flat" cmpd="sng">
          <a:solidFill>
            <a:srgbClr val="000000"/>
          </a:solidFill>
          <a:prstDash val="solid"/>
          <a:round/>
          <a:headEnd/>
          <a:tailEnd/>
        </a:ln>
        <a:effectLst/>
      </xdr:spPr>
    </xdr:sp>
    <xdr:clientData/>
  </xdr:twoCellAnchor>
  <xdr:twoCellAnchor>
    <xdr:from>
      <xdr:col>12</xdr:col>
      <xdr:colOff>57150</xdr:colOff>
      <xdr:row>142</xdr:row>
      <xdr:rowOff>190500</xdr:rowOff>
    </xdr:from>
    <xdr:to>
      <xdr:col>13</xdr:col>
      <xdr:colOff>257175</xdr:colOff>
      <xdr:row>144</xdr:row>
      <xdr:rowOff>57150</xdr:rowOff>
    </xdr:to>
    <xdr:sp macro="" textlink="">
      <xdr:nvSpPr>
        <xdr:cNvPr id="486" name="Freeform 1258"/>
        <xdr:cNvSpPr>
          <a:spLocks/>
        </xdr:cNvSpPr>
      </xdr:nvSpPr>
      <xdr:spPr bwMode="auto">
        <a:xfrm>
          <a:off x="5248275" y="35861625"/>
          <a:ext cx="523875" cy="361950"/>
        </a:xfrm>
        <a:custGeom>
          <a:avLst/>
          <a:gdLst/>
          <a:ahLst/>
          <a:cxnLst>
            <a:cxn ang="0">
              <a:pos x="7" y="4"/>
            </a:cxn>
            <a:cxn ang="0">
              <a:pos x="8" y="9"/>
            </a:cxn>
            <a:cxn ang="0">
              <a:pos x="11" y="11"/>
            </a:cxn>
            <a:cxn ang="0">
              <a:pos x="13" y="24"/>
            </a:cxn>
            <a:cxn ang="0">
              <a:pos x="40" y="38"/>
            </a:cxn>
            <a:cxn ang="0">
              <a:pos x="27" y="29"/>
            </a:cxn>
            <a:cxn ang="0">
              <a:pos x="18" y="25"/>
            </a:cxn>
            <a:cxn ang="0">
              <a:pos x="9" y="7"/>
            </a:cxn>
            <a:cxn ang="0">
              <a:pos x="7" y="4"/>
            </a:cxn>
          </a:cxnLst>
          <a:rect l="0" t="0" r="r" b="b"/>
          <a:pathLst>
            <a:path w="42" h="38">
              <a:moveTo>
                <a:pt x="7" y="4"/>
              </a:moveTo>
              <a:cubicBezTo>
                <a:pt x="7" y="6"/>
                <a:pt x="7" y="8"/>
                <a:pt x="8" y="9"/>
              </a:cubicBezTo>
              <a:cubicBezTo>
                <a:pt x="9" y="10"/>
                <a:pt x="11" y="10"/>
                <a:pt x="11" y="11"/>
              </a:cubicBezTo>
              <a:cubicBezTo>
                <a:pt x="12" y="15"/>
                <a:pt x="11" y="20"/>
                <a:pt x="13" y="24"/>
              </a:cubicBezTo>
              <a:cubicBezTo>
                <a:pt x="19" y="33"/>
                <a:pt x="30" y="37"/>
                <a:pt x="40" y="38"/>
              </a:cubicBezTo>
              <a:cubicBezTo>
                <a:pt x="42" y="32"/>
                <a:pt x="32" y="30"/>
                <a:pt x="27" y="29"/>
              </a:cubicBezTo>
              <a:cubicBezTo>
                <a:pt x="24" y="27"/>
                <a:pt x="20" y="27"/>
                <a:pt x="18" y="25"/>
              </a:cubicBezTo>
              <a:cubicBezTo>
                <a:pt x="13" y="21"/>
                <a:pt x="15" y="11"/>
                <a:pt x="9" y="7"/>
              </a:cubicBezTo>
              <a:cubicBezTo>
                <a:pt x="8" y="4"/>
                <a:pt x="0" y="0"/>
                <a:pt x="7" y="4"/>
              </a:cubicBezTo>
              <a:close/>
            </a:path>
          </a:pathLst>
        </a:custGeom>
        <a:solidFill>
          <a:srgbClr val="000000"/>
        </a:solidFill>
        <a:ln w="9525" cap="flat" cmpd="sng">
          <a:solidFill>
            <a:srgbClr val="000000"/>
          </a:solidFill>
          <a:prstDash val="solid"/>
          <a:round/>
          <a:headEnd/>
          <a:tailEnd/>
        </a:ln>
        <a:effectLst/>
      </xdr:spPr>
    </xdr:sp>
    <xdr:clientData/>
  </xdr:twoCellAnchor>
  <xdr:twoCellAnchor>
    <xdr:from>
      <xdr:col>8</xdr:col>
      <xdr:colOff>0</xdr:colOff>
      <xdr:row>134</xdr:row>
      <xdr:rowOff>28575</xdr:rowOff>
    </xdr:from>
    <xdr:to>
      <xdr:col>9</xdr:col>
      <xdr:colOff>76200</xdr:colOff>
      <xdr:row>137</xdr:row>
      <xdr:rowOff>19050</xdr:rowOff>
    </xdr:to>
    <xdr:sp macro="" textlink="">
      <xdr:nvSpPr>
        <xdr:cNvPr id="487" name="Freeform 1259"/>
        <xdr:cNvSpPr>
          <a:spLocks/>
        </xdr:cNvSpPr>
      </xdr:nvSpPr>
      <xdr:spPr bwMode="auto">
        <a:xfrm>
          <a:off x="3533775" y="33566100"/>
          <a:ext cx="342900" cy="885825"/>
        </a:xfrm>
        <a:custGeom>
          <a:avLst/>
          <a:gdLst/>
          <a:ahLst/>
          <a:cxnLst>
            <a:cxn ang="0">
              <a:pos x="28" y="0"/>
            </a:cxn>
            <a:cxn ang="0">
              <a:pos x="31" y="17"/>
            </a:cxn>
            <a:cxn ang="0">
              <a:pos x="28" y="28"/>
            </a:cxn>
            <a:cxn ang="0">
              <a:pos x="23" y="47"/>
            </a:cxn>
            <a:cxn ang="0">
              <a:pos x="25" y="70"/>
            </a:cxn>
            <a:cxn ang="0">
              <a:pos x="30" y="95"/>
            </a:cxn>
            <a:cxn ang="0">
              <a:pos x="5" y="98"/>
            </a:cxn>
            <a:cxn ang="0">
              <a:pos x="0" y="23"/>
            </a:cxn>
          </a:cxnLst>
          <a:rect l="0" t="0" r="r" b="b"/>
          <a:pathLst>
            <a:path w="36" h="101">
              <a:moveTo>
                <a:pt x="28" y="0"/>
              </a:moveTo>
              <a:cubicBezTo>
                <a:pt x="29" y="7"/>
                <a:pt x="29" y="11"/>
                <a:pt x="31" y="17"/>
              </a:cubicBezTo>
              <a:cubicBezTo>
                <a:pt x="32" y="25"/>
                <a:pt x="36" y="30"/>
                <a:pt x="28" y="28"/>
              </a:cubicBezTo>
              <a:cubicBezTo>
                <a:pt x="26" y="21"/>
                <a:pt x="26" y="42"/>
                <a:pt x="23" y="47"/>
              </a:cubicBezTo>
              <a:cubicBezTo>
                <a:pt x="21" y="55"/>
                <a:pt x="23" y="62"/>
                <a:pt x="25" y="70"/>
              </a:cubicBezTo>
              <a:cubicBezTo>
                <a:pt x="26" y="80"/>
                <a:pt x="28" y="86"/>
                <a:pt x="30" y="95"/>
              </a:cubicBezTo>
              <a:cubicBezTo>
                <a:pt x="22" y="101"/>
                <a:pt x="15" y="99"/>
                <a:pt x="5" y="98"/>
              </a:cubicBezTo>
              <a:cubicBezTo>
                <a:pt x="3" y="72"/>
                <a:pt x="0" y="50"/>
                <a:pt x="0" y="23"/>
              </a:cubicBezTo>
            </a:path>
          </a:pathLst>
        </a:custGeom>
        <a:solidFill>
          <a:srgbClr val="00FF00"/>
        </a:solidFill>
        <a:ln w="9525" cap="flat" cmpd="sng">
          <a:solidFill>
            <a:srgbClr val="000000"/>
          </a:solidFill>
          <a:prstDash val="solid"/>
          <a:round/>
          <a:headEnd/>
          <a:tailEnd/>
        </a:ln>
        <a:effectLst/>
      </xdr:spPr>
    </xdr:sp>
    <xdr:clientData/>
  </xdr:twoCellAnchor>
  <xdr:twoCellAnchor>
    <xdr:from>
      <xdr:col>2</xdr:col>
      <xdr:colOff>342900</xdr:colOff>
      <xdr:row>144</xdr:row>
      <xdr:rowOff>200025</xdr:rowOff>
    </xdr:from>
    <xdr:to>
      <xdr:col>12</xdr:col>
      <xdr:colOff>180975</xdr:colOff>
      <xdr:row>146</xdr:row>
      <xdr:rowOff>28575</xdr:rowOff>
    </xdr:to>
    <xdr:sp macro="" textlink="">
      <xdr:nvSpPr>
        <xdr:cNvPr id="488" name="Freeform 1260"/>
        <xdr:cNvSpPr>
          <a:spLocks/>
        </xdr:cNvSpPr>
      </xdr:nvSpPr>
      <xdr:spPr bwMode="auto">
        <a:xfrm>
          <a:off x="904875" y="36366450"/>
          <a:ext cx="4467225" cy="323850"/>
        </a:xfrm>
        <a:custGeom>
          <a:avLst/>
          <a:gdLst/>
          <a:ahLst/>
          <a:cxnLst>
            <a:cxn ang="0">
              <a:pos x="0" y="25"/>
            </a:cxn>
            <a:cxn ang="0">
              <a:pos x="17" y="9"/>
            </a:cxn>
            <a:cxn ang="0">
              <a:pos x="73" y="12"/>
            </a:cxn>
            <a:cxn ang="0">
              <a:pos x="97" y="21"/>
            </a:cxn>
            <a:cxn ang="0">
              <a:pos x="133" y="20"/>
            </a:cxn>
            <a:cxn ang="0">
              <a:pos x="159" y="0"/>
            </a:cxn>
            <a:cxn ang="0">
              <a:pos x="199" y="17"/>
            </a:cxn>
            <a:cxn ang="0">
              <a:pos x="257" y="28"/>
            </a:cxn>
            <a:cxn ang="0">
              <a:pos x="325" y="27"/>
            </a:cxn>
            <a:cxn ang="0">
              <a:pos x="337" y="24"/>
            </a:cxn>
            <a:cxn ang="0">
              <a:pos x="373" y="5"/>
            </a:cxn>
            <a:cxn ang="0">
              <a:pos x="454" y="16"/>
            </a:cxn>
            <a:cxn ang="0">
              <a:pos x="436" y="15"/>
            </a:cxn>
            <a:cxn ang="0">
              <a:pos x="430" y="9"/>
            </a:cxn>
            <a:cxn ang="0">
              <a:pos x="355" y="10"/>
            </a:cxn>
            <a:cxn ang="0">
              <a:pos x="343" y="24"/>
            </a:cxn>
            <a:cxn ang="0">
              <a:pos x="306" y="34"/>
            </a:cxn>
            <a:cxn ang="0">
              <a:pos x="218" y="29"/>
            </a:cxn>
            <a:cxn ang="0">
              <a:pos x="176" y="9"/>
            </a:cxn>
            <a:cxn ang="0">
              <a:pos x="152" y="6"/>
            </a:cxn>
            <a:cxn ang="0">
              <a:pos x="122" y="25"/>
            </a:cxn>
            <a:cxn ang="0">
              <a:pos x="85" y="21"/>
            </a:cxn>
            <a:cxn ang="0">
              <a:pos x="69" y="16"/>
            </a:cxn>
            <a:cxn ang="0">
              <a:pos x="63" y="14"/>
            </a:cxn>
            <a:cxn ang="0">
              <a:pos x="54" y="7"/>
            </a:cxn>
            <a:cxn ang="0">
              <a:pos x="10" y="19"/>
            </a:cxn>
            <a:cxn ang="0">
              <a:pos x="0" y="25"/>
            </a:cxn>
          </a:cxnLst>
          <a:rect l="0" t="0" r="r" b="b"/>
          <a:pathLst>
            <a:path w="454" h="34">
              <a:moveTo>
                <a:pt x="0" y="25"/>
              </a:moveTo>
              <a:cubicBezTo>
                <a:pt x="4" y="17"/>
                <a:pt x="8" y="11"/>
                <a:pt x="17" y="9"/>
              </a:cubicBezTo>
              <a:cubicBezTo>
                <a:pt x="68" y="10"/>
                <a:pt x="49" y="6"/>
                <a:pt x="73" y="12"/>
              </a:cubicBezTo>
              <a:cubicBezTo>
                <a:pt x="81" y="14"/>
                <a:pt x="97" y="21"/>
                <a:pt x="97" y="21"/>
              </a:cubicBezTo>
              <a:cubicBezTo>
                <a:pt x="109" y="21"/>
                <a:pt x="121" y="22"/>
                <a:pt x="133" y="20"/>
              </a:cubicBezTo>
              <a:cubicBezTo>
                <a:pt x="138" y="19"/>
                <a:pt x="149" y="2"/>
                <a:pt x="159" y="0"/>
              </a:cubicBezTo>
              <a:cubicBezTo>
                <a:pt x="182" y="2"/>
                <a:pt x="181" y="9"/>
                <a:pt x="199" y="17"/>
              </a:cubicBezTo>
              <a:cubicBezTo>
                <a:pt x="217" y="25"/>
                <a:pt x="238" y="27"/>
                <a:pt x="257" y="28"/>
              </a:cubicBezTo>
              <a:cubicBezTo>
                <a:pt x="271" y="32"/>
                <a:pt x="320" y="27"/>
                <a:pt x="325" y="27"/>
              </a:cubicBezTo>
              <a:cubicBezTo>
                <a:pt x="329" y="26"/>
                <a:pt x="337" y="24"/>
                <a:pt x="337" y="24"/>
              </a:cubicBezTo>
              <a:cubicBezTo>
                <a:pt x="348" y="13"/>
                <a:pt x="358" y="7"/>
                <a:pt x="373" y="5"/>
              </a:cubicBezTo>
              <a:cubicBezTo>
                <a:pt x="412" y="6"/>
                <a:pt x="424" y="6"/>
                <a:pt x="454" y="16"/>
              </a:cubicBezTo>
              <a:cubicBezTo>
                <a:pt x="447" y="18"/>
                <a:pt x="445" y="19"/>
                <a:pt x="436" y="15"/>
              </a:cubicBezTo>
              <a:cubicBezTo>
                <a:pt x="433" y="14"/>
                <a:pt x="430" y="9"/>
                <a:pt x="430" y="9"/>
              </a:cubicBezTo>
              <a:cubicBezTo>
                <a:pt x="405" y="9"/>
                <a:pt x="380" y="9"/>
                <a:pt x="355" y="10"/>
              </a:cubicBezTo>
              <a:cubicBezTo>
                <a:pt x="354" y="10"/>
                <a:pt x="347" y="23"/>
                <a:pt x="343" y="24"/>
              </a:cubicBezTo>
              <a:cubicBezTo>
                <a:pt x="330" y="27"/>
                <a:pt x="318" y="31"/>
                <a:pt x="306" y="34"/>
              </a:cubicBezTo>
              <a:cubicBezTo>
                <a:pt x="275" y="33"/>
                <a:pt x="250" y="30"/>
                <a:pt x="218" y="29"/>
              </a:cubicBezTo>
              <a:cubicBezTo>
                <a:pt x="204" y="26"/>
                <a:pt x="191" y="13"/>
                <a:pt x="176" y="9"/>
              </a:cubicBezTo>
              <a:cubicBezTo>
                <a:pt x="167" y="3"/>
                <a:pt x="166" y="5"/>
                <a:pt x="152" y="6"/>
              </a:cubicBezTo>
              <a:cubicBezTo>
                <a:pt x="146" y="15"/>
                <a:pt x="132" y="22"/>
                <a:pt x="122" y="25"/>
              </a:cubicBezTo>
              <a:cubicBezTo>
                <a:pt x="109" y="24"/>
                <a:pt x="99" y="22"/>
                <a:pt x="85" y="21"/>
              </a:cubicBezTo>
              <a:cubicBezTo>
                <a:pt x="80" y="18"/>
                <a:pt x="75" y="17"/>
                <a:pt x="69" y="16"/>
              </a:cubicBezTo>
              <a:cubicBezTo>
                <a:pt x="67" y="15"/>
                <a:pt x="63" y="14"/>
                <a:pt x="63" y="14"/>
              </a:cubicBezTo>
              <a:cubicBezTo>
                <a:pt x="60" y="11"/>
                <a:pt x="54" y="7"/>
                <a:pt x="54" y="7"/>
              </a:cubicBezTo>
              <a:cubicBezTo>
                <a:pt x="38" y="8"/>
                <a:pt x="26" y="16"/>
                <a:pt x="10" y="19"/>
              </a:cubicBezTo>
              <a:cubicBezTo>
                <a:pt x="7" y="21"/>
                <a:pt x="0" y="25"/>
                <a:pt x="0" y="25"/>
              </a:cubicBezTo>
              <a:close/>
            </a:path>
          </a:pathLst>
        </a:custGeom>
        <a:solidFill>
          <a:srgbClr val="00CCFF"/>
        </a:solidFill>
        <a:ln w="9525" cap="flat" cmpd="sng">
          <a:solidFill>
            <a:srgbClr val="000000"/>
          </a:solidFill>
          <a:prstDash val="solid"/>
          <a:round/>
          <a:headEnd/>
          <a:tailEnd/>
        </a:ln>
        <a:effectLst/>
      </xdr:spPr>
    </xdr:sp>
    <xdr:clientData/>
  </xdr:twoCellAnchor>
  <xdr:oneCellAnchor>
    <xdr:from>
      <xdr:col>0</xdr:col>
      <xdr:colOff>0</xdr:colOff>
      <xdr:row>140</xdr:row>
      <xdr:rowOff>200025</xdr:rowOff>
    </xdr:from>
    <xdr:ext cx="1949573" cy="655885"/>
    <xdr:sp macro="" textlink="">
      <xdr:nvSpPr>
        <xdr:cNvPr id="489" name="Rectangle 488"/>
        <xdr:cNvSpPr/>
      </xdr:nvSpPr>
      <xdr:spPr>
        <a:xfrm>
          <a:off x="0" y="35375850"/>
          <a:ext cx="1949573"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Κλάσμα</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4</xdr:col>
      <xdr:colOff>251058</xdr:colOff>
      <xdr:row>142</xdr:row>
      <xdr:rowOff>123825</xdr:rowOff>
    </xdr:from>
    <xdr:ext cx="2761911" cy="718466"/>
    <xdr:sp macro="" textlink="">
      <xdr:nvSpPr>
        <xdr:cNvPr id="490" name="Rectangle 489"/>
        <xdr:cNvSpPr/>
      </xdr:nvSpPr>
      <xdr:spPr>
        <a:xfrm>
          <a:off x="1727433" y="35794950"/>
          <a:ext cx="2761911" cy="718466"/>
        </a:xfrm>
        <a:prstGeom prst="rect">
          <a:avLst/>
        </a:prstGeom>
        <a:noFill/>
      </xdr:spPr>
      <xdr:txBody>
        <a:bodyPr wrap="none" lIns="91440" tIns="45720" rIns="91440" bIns="45720">
          <a:spAutoFit/>
        </a:bodyPr>
        <a:lstStyle/>
        <a:p>
          <a:pPr algn="ctr"/>
          <a:r>
            <a:rPr lang="el-GR"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Δεκαδικός</a:t>
          </a:r>
          <a:endParaRPr lang="en-US" sz="4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9</xdr:col>
      <xdr:colOff>281311</xdr:colOff>
      <xdr:row>141</xdr:row>
      <xdr:rowOff>28575</xdr:rowOff>
    </xdr:from>
    <xdr:ext cx="2173800" cy="655885"/>
    <xdr:sp macro="" textlink="">
      <xdr:nvSpPr>
        <xdr:cNvPr id="491" name="Rectangle 490"/>
        <xdr:cNvSpPr/>
      </xdr:nvSpPr>
      <xdr:spPr>
        <a:xfrm>
          <a:off x="4081786" y="35452050"/>
          <a:ext cx="2173800" cy="655885"/>
        </a:xfrm>
        <a:prstGeom prst="rect">
          <a:avLst/>
        </a:prstGeom>
        <a:noFill/>
      </xdr:spPr>
      <xdr:txBody>
        <a:bodyPr wrap="none" lIns="91440" tIns="45720" rIns="91440" bIns="45720">
          <a:spAutoFit/>
        </a:bodyPr>
        <a:lstStyle/>
        <a:p>
          <a:pPr algn="ctr"/>
          <a:r>
            <a:rPr lang="el-GR"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Ποσοστό</a:t>
          </a:r>
          <a:endParaRPr lang="en-US" sz="36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twoCellAnchor>
    <xdr:from>
      <xdr:col>0</xdr:col>
      <xdr:colOff>0</xdr:colOff>
      <xdr:row>121</xdr:row>
      <xdr:rowOff>0</xdr:rowOff>
    </xdr:from>
    <xdr:to>
      <xdr:col>1</xdr:col>
      <xdr:colOff>133350</xdr:colOff>
      <xdr:row>123</xdr:row>
      <xdr:rowOff>104775</xdr:rowOff>
    </xdr:to>
    <xdr:sp macro="" textlink="">
      <xdr:nvSpPr>
        <xdr:cNvPr id="492" name="Oval 491"/>
        <xdr:cNvSpPr/>
      </xdr:nvSpPr>
      <xdr:spPr bwMode="auto">
        <a:xfrm>
          <a:off x="0" y="30222825"/>
          <a:ext cx="428625" cy="485775"/>
        </a:xfrm>
        <a:prstGeom prst="ellipse">
          <a:avLst/>
        </a:prstGeom>
        <a:solidFill>
          <a:srgbClr val="00CC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l-GR" sz="2800"/>
            <a:t>4</a:t>
          </a:r>
          <a:endParaRPr lang="en-GB" sz="2800"/>
        </a:p>
      </xdr:txBody>
    </xdr:sp>
    <xdr:clientData/>
  </xdr:twoCellAnchor>
  <xdr:twoCellAnchor>
    <xdr:from>
      <xdr:col>11</xdr:col>
      <xdr:colOff>0</xdr:colOff>
      <xdr:row>147</xdr:row>
      <xdr:rowOff>0</xdr:rowOff>
    </xdr:from>
    <xdr:to>
      <xdr:col>15</xdr:col>
      <xdr:colOff>400050</xdr:colOff>
      <xdr:row>149</xdr:row>
      <xdr:rowOff>57150</xdr:rowOff>
    </xdr:to>
    <xdr:sp macro="" textlink="">
      <xdr:nvSpPr>
        <xdr:cNvPr id="493" name="AutoShape 1265">
          <a:hlinkClick xmlns:r="http://schemas.openxmlformats.org/officeDocument/2006/relationships" r:id="rId3"/>
        </xdr:cNvPr>
        <xdr:cNvSpPr>
          <a:spLocks noChangeArrowheads="1"/>
        </xdr:cNvSpPr>
      </xdr:nvSpPr>
      <xdr:spPr bwMode="auto">
        <a:xfrm>
          <a:off x="4467225" y="36718875"/>
          <a:ext cx="2466975" cy="438150"/>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5720" rIns="0" bIns="0" anchor="t" upright="1"/>
        <a:lstStyle/>
        <a:p>
          <a:pPr algn="l" rtl="0">
            <a:defRPr sz="1000"/>
          </a:pPr>
          <a:r>
            <a:rPr lang="el-GR" sz="1400" b="1" i="0" strike="noStrike">
              <a:solidFill>
                <a:srgbClr val="000000"/>
              </a:solidFill>
              <a:latin typeface="Comic Sans MS"/>
            </a:rPr>
            <a:t>ΕΠΙΣΤΡΟΦΗ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19</xdr:row>
      <xdr:rowOff>47625</xdr:rowOff>
    </xdr:from>
    <xdr:to>
      <xdr:col>11</xdr:col>
      <xdr:colOff>38100</xdr:colOff>
      <xdr:row>20</xdr:row>
      <xdr:rowOff>133350</xdr:rowOff>
    </xdr:to>
    <xdr:sp macro="" textlink="">
      <xdr:nvSpPr>
        <xdr:cNvPr id="80919" name="WordArt 23"/>
        <xdr:cNvSpPr>
          <a:spLocks noChangeArrowheads="1" noChangeShapeType="1" noTextEdit="1"/>
        </xdr:cNvSpPr>
      </xdr:nvSpPr>
      <xdr:spPr bwMode="auto">
        <a:xfrm>
          <a:off x="9525" y="4305300"/>
          <a:ext cx="771525" cy="2857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FF0000"/>
              </a:solidFill>
              <a:effectLst>
                <a:outerShdw dist="125724" dir="18900000" algn="ctr" rotWithShape="0">
                  <a:srgbClr val="000099"/>
                </a:outerShdw>
              </a:effectLst>
              <a:latin typeface="Comic Sans MS"/>
            </a:rPr>
            <a:t>1η ακέραια μονάδα</a:t>
          </a:r>
          <a:endParaRPr lang="en-GB" sz="3600" b="1" kern="10" spc="-360">
            <a:ln w="12700">
              <a:solidFill>
                <a:srgbClr val="000099"/>
              </a:solidFill>
              <a:round/>
              <a:headEnd/>
              <a:tailEnd/>
            </a:ln>
            <a:solidFill>
              <a:srgbClr val="FF0000"/>
            </a:solidFill>
            <a:effectLst>
              <a:outerShdw dist="125724" dir="18900000" algn="ctr" rotWithShape="0">
                <a:srgbClr val="000099"/>
              </a:outerShdw>
            </a:effectLst>
            <a:latin typeface="Comic Sans MS"/>
          </a:endParaRPr>
        </a:p>
      </xdr:txBody>
    </xdr:sp>
    <xdr:clientData/>
  </xdr:twoCellAnchor>
  <xdr:twoCellAnchor>
    <xdr:from>
      <xdr:col>5</xdr:col>
      <xdr:colOff>47625</xdr:colOff>
      <xdr:row>0</xdr:row>
      <xdr:rowOff>66675</xdr:rowOff>
    </xdr:from>
    <xdr:to>
      <xdr:col>58</xdr:col>
      <xdr:colOff>85725</xdr:colOff>
      <xdr:row>0</xdr:row>
      <xdr:rowOff>590550</xdr:rowOff>
    </xdr:to>
    <xdr:sp macro="" textlink="">
      <xdr:nvSpPr>
        <xdr:cNvPr id="80920" name="WordArt 24"/>
        <xdr:cNvSpPr>
          <a:spLocks noChangeArrowheads="1" noChangeShapeType="1" noTextEdit="1"/>
        </xdr:cNvSpPr>
      </xdr:nvSpPr>
      <xdr:spPr bwMode="auto">
        <a:xfrm>
          <a:off x="161925" y="66675"/>
          <a:ext cx="5372100" cy="5238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Σύγκριση κλασμάτων - δεκαδικών- ποσοστών σε επιφάνεια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60</xdr:col>
      <xdr:colOff>19050</xdr:colOff>
      <xdr:row>0</xdr:row>
      <xdr:rowOff>142875</xdr:rowOff>
    </xdr:from>
    <xdr:to>
      <xdr:col>74</xdr:col>
      <xdr:colOff>180975</xdr:colOff>
      <xdr:row>0</xdr:row>
      <xdr:rowOff>447675</xdr:rowOff>
    </xdr:to>
    <xdr:sp macro="" textlink="">
      <xdr:nvSpPr>
        <xdr:cNvPr id="80921" name="AutoShape 25" descr="80%">
          <a:hlinkClick xmlns:r="http://schemas.openxmlformats.org/officeDocument/2006/relationships" r:id="rId1"/>
        </xdr:cNvPr>
        <xdr:cNvSpPr>
          <a:spLocks noChangeArrowheads="1"/>
        </xdr:cNvSpPr>
      </xdr:nvSpPr>
      <xdr:spPr bwMode="auto">
        <a:xfrm>
          <a:off x="5676900" y="142875"/>
          <a:ext cx="1600200" cy="304800"/>
        </a:xfrm>
        <a:prstGeom prst="ribbon">
          <a:avLst>
            <a:gd name="adj1" fmla="val 12500"/>
            <a:gd name="adj2" fmla="val 50000"/>
          </a:avLst>
        </a:prstGeom>
        <a:pattFill prst="pct80">
          <a:fgClr>
            <a:srgbClr val="00CCFF"/>
          </a:fgClr>
          <a:bgClr>
            <a:srgbClr val="FFFFFF"/>
          </a:bgClr>
        </a:pattFill>
        <a:ln w="9525">
          <a:solidFill>
            <a:srgbClr val="000000"/>
          </a:solidFill>
          <a:round/>
          <a:headEnd/>
          <a:tailEnd/>
        </a:ln>
      </xdr:spPr>
      <xdr:txBody>
        <a:bodyPr vertOverflow="clip" wrap="square" lIns="27432" tIns="27432" rIns="0" bIns="0" anchor="t" upright="1"/>
        <a:lstStyle/>
        <a:p>
          <a:pPr algn="l" rtl="0">
            <a:defRPr sz="1000"/>
          </a:pPr>
          <a:r>
            <a:rPr lang="el-GR" sz="900" b="1" i="0" strike="noStrike">
              <a:solidFill>
                <a:srgbClr val="000000"/>
              </a:solidFill>
              <a:latin typeface="Comic Sans MS"/>
            </a:rPr>
            <a:t>ΕΠΙΣΤΡΟΦΗ</a:t>
          </a:r>
        </a:p>
      </xdr:txBody>
    </xdr:sp>
    <xdr:clientData/>
  </xdr:twoCellAnchor>
  <xdr:twoCellAnchor>
    <xdr:from>
      <xdr:col>15</xdr:col>
      <xdr:colOff>95250</xdr:colOff>
      <xdr:row>19</xdr:row>
      <xdr:rowOff>76200</xdr:rowOff>
    </xdr:from>
    <xdr:to>
      <xdr:col>23</xdr:col>
      <xdr:colOff>0</xdr:colOff>
      <xdr:row>21</xdr:row>
      <xdr:rowOff>57150</xdr:rowOff>
    </xdr:to>
    <xdr:sp macro="" textlink="">
      <xdr:nvSpPr>
        <xdr:cNvPr id="80922" name="WordArt 26"/>
        <xdr:cNvSpPr>
          <a:spLocks noChangeArrowheads="1" noChangeShapeType="1" noTextEdit="1"/>
        </xdr:cNvSpPr>
      </xdr:nvSpPr>
      <xdr:spPr bwMode="auto">
        <a:xfrm>
          <a:off x="1238250" y="4333875"/>
          <a:ext cx="742950" cy="3714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FF0000"/>
              </a:solidFill>
              <a:effectLst>
                <a:outerShdw dist="125724" dir="18900000" algn="ctr" rotWithShape="0">
                  <a:srgbClr val="000099"/>
                </a:outerShdw>
              </a:effectLst>
              <a:latin typeface="Comic Sans MS"/>
            </a:rPr>
            <a:t>2η ακέραια μονάδα</a:t>
          </a:r>
          <a:endParaRPr lang="en-GB" sz="3600" b="1" kern="10" spc="-360">
            <a:ln w="12700">
              <a:solidFill>
                <a:srgbClr val="000099"/>
              </a:solidFill>
              <a:round/>
              <a:headEnd/>
              <a:tailEnd/>
            </a:ln>
            <a:solidFill>
              <a:srgbClr val="FF0000"/>
            </a:solidFill>
            <a:effectLst>
              <a:outerShdw dist="125724" dir="18900000" algn="ctr" rotWithShape="0">
                <a:srgbClr val="000099"/>
              </a:outerShdw>
            </a:effectLst>
            <a:latin typeface="Comic Sans MS"/>
          </a:endParaRPr>
        </a:p>
      </xdr:txBody>
    </xdr:sp>
    <xdr:clientData/>
  </xdr:twoCellAnchor>
  <xdr:twoCellAnchor>
    <xdr:from>
      <xdr:col>27</xdr:col>
      <xdr:colOff>38100</xdr:colOff>
      <xdr:row>19</xdr:row>
      <xdr:rowOff>95250</xdr:rowOff>
    </xdr:from>
    <xdr:to>
      <xdr:col>35</xdr:col>
      <xdr:colOff>95250</xdr:colOff>
      <xdr:row>20</xdr:row>
      <xdr:rowOff>180975</xdr:rowOff>
    </xdr:to>
    <xdr:sp macro="" textlink="">
      <xdr:nvSpPr>
        <xdr:cNvPr id="80926" name="WordArt 30"/>
        <xdr:cNvSpPr>
          <a:spLocks noChangeArrowheads="1" noChangeShapeType="1" noTextEdit="1"/>
        </xdr:cNvSpPr>
      </xdr:nvSpPr>
      <xdr:spPr bwMode="auto">
        <a:xfrm>
          <a:off x="2390775" y="4352925"/>
          <a:ext cx="895350" cy="2857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00FF00"/>
              </a:solidFill>
              <a:effectLst>
                <a:outerShdw dist="125724" dir="18900000" algn="ctr" rotWithShape="0">
                  <a:srgbClr val="000099"/>
                </a:outerShdw>
              </a:effectLst>
              <a:latin typeface="Comic Sans MS"/>
            </a:rPr>
            <a:t>1η ακέραια μονάδα</a:t>
          </a:r>
          <a:endParaRPr lang="en-GB" sz="3600" b="1" kern="10" spc="-360">
            <a:ln w="12700">
              <a:solidFill>
                <a:srgbClr val="000099"/>
              </a:solidFill>
              <a:round/>
              <a:headEnd/>
              <a:tailEnd/>
            </a:ln>
            <a:solidFill>
              <a:srgbClr val="00FF00"/>
            </a:solidFill>
            <a:effectLst>
              <a:outerShdw dist="125724" dir="18900000" algn="ctr" rotWithShape="0">
                <a:srgbClr val="000099"/>
              </a:outerShdw>
            </a:effectLst>
            <a:latin typeface="Comic Sans MS"/>
          </a:endParaRPr>
        </a:p>
      </xdr:txBody>
    </xdr:sp>
    <xdr:clientData/>
  </xdr:twoCellAnchor>
  <xdr:twoCellAnchor>
    <xdr:from>
      <xdr:col>39</xdr:col>
      <xdr:colOff>57150</xdr:colOff>
      <xdr:row>19</xdr:row>
      <xdr:rowOff>47625</xdr:rowOff>
    </xdr:from>
    <xdr:to>
      <xdr:col>47</xdr:col>
      <xdr:colOff>9525</xdr:colOff>
      <xdr:row>21</xdr:row>
      <xdr:rowOff>28575</xdr:rowOff>
    </xdr:to>
    <xdr:sp macro="" textlink="">
      <xdr:nvSpPr>
        <xdr:cNvPr id="80927" name="WordArt 31"/>
        <xdr:cNvSpPr>
          <a:spLocks noChangeArrowheads="1" noChangeShapeType="1" noTextEdit="1"/>
        </xdr:cNvSpPr>
      </xdr:nvSpPr>
      <xdr:spPr bwMode="auto">
        <a:xfrm>
          <a:off x="3638550" y="4305300"/>
          <a:ext cx="790575" cy="3714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00FF00"/>
              </a:solidFill>
              <a:effectLst>
                <a:outerShdw dist="125724" dir="18900000" algn="ctr" rotWithShape="0">
                  <a:srgbClr val="000099"/>
                </a:outerShdw>
              </a:effectLst>
              <a:latin typeface="Comic Sans MS"/>
            </a:rPr>
            <a:t>2η ακέραια μονάδα</a:t>
          </a:r>
          <a:endParaRPr lang="en-GB" sz="3600" b="1" kern="10" spc="-360">
            <a:ln w="12700">
              <a:solidFill>
                <a:srgbClr val="000099"/>
              </a:solidFill>
              <a:round/>
              <a:headEnd/>
              <a:tailEnd/>
            </a:ln>
            <a:solidFill>
              <a:srgbClr val="00FF00"/>
            </a:solidFill>
            <a:effectLst>
              <a:outerShdw dist="125724" dir="18900000" algn="ctr" rotWithShape="0">
                <a:srgbClr val="000099"/>
              </a:outerShdw>
            </a:effectLst>
            <a:latin typeface="Comic Sans MS"/>
          </a:endParaRPr>
        </a:p>
      </xdr:txBody>
    </xdr:sp>
    <xdr:clientData/>
  </xdr:twoCellAnchor>
  <xdr:twoCellAnchor>
    <xdr:from>
      <xdr:col>4</xdr:col>
      <xdr:colOff>95250</xdr:colOff>
      <xdr:row>4</xdr:row>
      <xdr:rowOff>152400</xdr:rowOff>
    </xdr:from>
    <xdr:to>
      <xdr:col>19</xdr:col>
      <xdr:colOff>9525</xdr:colOff>
      <xdr:row>5</xdr:row>
      <xdr:rowOff>47625</xdr:rowOff>
    </xdr:to>
    <xdr:sp macro="" textlink="">
      <xdr:nvSpPr>
        <xdr:cNvPr id="80929" name="WordArt 33"/>
        <xdr:cNvSpPr>
          <a:spLocks noChangeArrowheads="1" noChangeShapeType="1" noTextEdit="1"/>
        </xdr:cNvSpPr>
      </xdr:nvSpPr>
      <xdr:spPr bwMode="auto">
        <a:xfrm>
          <a:off x="104775" y="1638300"/>
          <a:ext cx="1466850" cy="295275"/>
        </a:xfrm>
        <a:prstGeom prst="rect">
          <a:avLst/>
        </a:prstGeom>
      </xdr:spPr>
      <xdr:txBody>
        <a:bodyPr wrap="none" fromWordArt="1">
          <a:prstTxWarp prst="textPlain">
            <a:avLst>
              <a:gd name="adj" fmla="val 50000"/>
            </a:avLst>
          </a:prstTxWarp>
        </a:bodyPr>
        <a:lstStyle/>
        <a:p>
          <a:pPr algn="ctr" rtl="0"/>
          <a:r>
            <a:rPr lang="el-GR" sz="3600" kern="10" spc="0">
              <a:ln w="12700">
                <a:solidFill>
                  <a:srgbClr val="3333CC"/>
                </a:solidFill>
                <a:round/>
                <a:headEnd/>
                <a:tailEnd/>
              </a:ln>
              <a:solidFill>
                <a:srgbClr val="FF0000">
                  <a:alpha val="50000"/>
                </a:srgbClr>
              </a:solidFill>
              <a:effectLst>
                <a:outerShdw dist="45791" dir="2021404" algn="ctr" rotWithShape="0">
                  <a:srgbClr val="9999FF"/>
                </a:outerShdw>
              </a:effectLst>
              <a:latin typeface="Arial Black"/>
            </a:rPr>
            <a:t>Κλάσμα</a:t>
          </a:r>
          <a:endParaRPr lang="en-GB" sz="3600" kern="10" spc="0">
            <a:ln w="12700">
              <a:solidFill>
                <a:srgbClr val="3333CC"/>
              </a:solidFill>
              <a:round/>
              <a:headEnd/>
              <a:tailEnd/>
            </a:ln>
            <a:solidFill>
              <a:srgbClr val="FF0000">
                <a:alpha val="50000"/>
              </a:srgbClr>
            </a:solidFill>
            <a:effectLst>
              <a:outerShdw dist="45791" dir="2021404" algn="ctr" rotWithShape="0">
                <a:srgbClr val="9999FF"/>
              </a:outerShdw>
            </a:effectLst>
            <a:latin typeface="Arial Black"/>
          </a:endParaRPr>
        </a:p>
      </xdr:txBody>
    </xdr:sp>
    <xdr:clientData/>
  </xdr:twoCellAnchor>
  <xdr:twoCellAnchor>
    <xdr:from>
      <xdr:col>51</xdr:col>
      <xdr:colOff>0</xdr:colOff>
      <xdr:row>19</xdr:row>
      <xdr:rowOff>47625</xdr:rowOff>
    </xdr:from>
    <xdr:to>
      <xdr:col>58</xdr:col>
      <xdr:colOff>38100</xdr:colOff>
      <xdr:row>20</xdr:row>
      <xdr:rowOff>133350</xdr:rowOff>
    </xdr:to>
    <xdr:sp macro="" textlink="">
      <xdr:nvSpPr>
        <xdr:cNvPr id="80933" name="WordArt 37"/>
        <xdr:cNvSpPr>
          <a:spLocks noChangeArrowheads="1" noChangeShapeType="1" noTextEdit="1"/>
        </xdr:cNvSpPr>
      </xdr:nvSpPr>
      <xdr:spPr bwMode="auto">
        <a:xfrm>
          <a:off x="4714875" y="4305300"/>
          <a:ext cx="771525" cy="2857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1η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62</xdr:col>
      <xdr:colOff>95250</xdr:colOff>
      <xdr:row>19</xdr:row>
      <xdr:rowOff>76200</xdr:rowOff>
    </xdr:from>
    <xdr:to>
      <xdr:col>70</xdr:col>
      <xdr:colOff>0</xdr:colOff>
      <xdr:row>21</xdr:row>
      <xdr:rowOff>57150</xdr:rowOff>
    </xdr:to>
    <xdr:sp macro="" textlink="">
      <xdr:nvSpPr>
        <xdr:cNvPr id="80934" name="WordArt 38"/>
        <xdr:cNvSpPr>
          <a:spLocks noChangeArrowheads="1" noChangeShapeType="1" noTextEdit="1"/>
        </xdr:cNvSpPr>
      </xdr:nvSpPr>
      <xdr:spPr bwMode="auto">
        <a:xfrm>
          <a:off x="5934075" y="4333875"/>
          <a:ext cx="742950" cy="371475"/>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2η ακέραια μονάδα</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30</xdr:col>
      <xdr:colOff>38100</xdr:colOff>
      <xdr:row>4</xdr:row>
      <xdr:rowOff>95250</xdr:rowOff>
    </xdr:from>
    <xdr:to>
      <xdr:col>45</xdr:col>
      <xdr:colOff>0</xdr:colOff>
      <xdr:row>5</xdr:row>
      <xdr:rowOff>57150</xdr:rowOff>
    </xdr:to>
    <xdr:sp macro="" textlink="">
      <xdr:nvSpPr>
        <xdr:cNvPr id="80936" name="WordArt 40"/>
        <xdr:cNvSpPr>
          <a:spLocks noChangeArrowheads="1" noChangeShapeType="1" noTextEdit="1"/>
        </xdr:cNvSpPr>
      </xdr:nvSpPr>
      <xdr:spPr bwMode="auto">
        <a:xfrm>
          <a:off x="2705100" y="1581150"/>
          <a:ext cx="1504950" cy="361950"/>
        </a:xfrm>
        <a:prstGeom prst="rect">
          <a:avLst/>
        </a:prstGeom>
      </xdr:spPr>
      <xdr:txBody>
        <a:bodyPr wrap="none" fromWordArt="1">
          <a:prstTxWarp prst="textPlain">
            <a:avLst>
              <a:gd name="adj" fmla="val 50000"/>
            </a:avLst>
          </a:prstTxWarp>
        </a:bodyPr>
        <a:lstStyle/>
        <a:p>
          <a:pPr algn="ctr" rtl="0"/>
          <a:r>
            <a:rPr lang="el-GR" sz="3600" kern="10" spc="0">
              <a:ln w="12700">
                <a:solidFill>
                  <a:srgbClr val="3333CC"/>
                </a:solidFill>
                <a:round/>
                <a:headEnd/>
                <a:tailEnd/>
              </a:ln>
              <a:solidFill>
                <a:srgbClr val="00FF00">
                  <a:alpha val="50000"/>
                </a:srgbClr>
              </a:solidFill>
              <a:effectLst>
                <a:outerShdw dist="45791" dir="2021404" algn="ctr" rotWithShape="0">
                  <a:srgbClr val="9999FF"/>
                </a:outerShdw>
              </a:effectLst>
              <a:latin typeface="Arial Black"/>
            </a:rPr>
            <a:t>Δεκαδικός</a:t>
          </a:r>
          <a:endParaRPr lang="en-GB" sz="3600" kern="10" spc="0">
            <a:ln w="12700">
              <a:solidFill>
                <a:srgbClr val="3333CC"/>
              </a:solidFill>
              <a:round/>
              <a:headEnd/>
              <a:tailEnd/>
            </a:ln>
            <a:solidFill>
              <a:srgbClr val="00FF00">
                <a:alpha val="50000"/>
              </a:srgbClr>
            </a:solidFill>
            <a:effectLst>
              <a:outerShdw dist="45791" dir="2021404" algn="ctr" rotWithShape="0">
                <a:srgbClr val="9999FF"/>
              </a:outerShdw>
            </a:effectLst>
            <a:latin typeface="Arial Black"/>
          </a:endParaRPr>
        </a:p>
      </xdr:txBody>
    </xdr:sp>
    <xdr:clientData/>
  </xdr:twoCellAnchor>
  <xdr:twoCellAnchor>
    <xdr:from>
      <xdr:col>52</xdr:col>
      <xdr:colOff>0</xdr:colOff>
      <xdr:row>4</xdr:row>
      <xdr:rowOff>152400</xdr:rowOff>
    </xdr:from>
    <xdr:to>
      <xdr:col>66</xdr:col>
      <xdr:colOff>66675</xdr:colOff>
      <xdr:row>5</xdr:row>
      <xdr:rowOff>0</xdr:rowOff>
    </xdr:to>
    <xdr:sp macro="" textlink="">
      <xdr:nvSpPr>
        <xdr:cNvPr id="80937" name="WordArt 41"/>
        <xdr:cNvSpPr>
          <a:spLocks noChangeArrowheads="1" noChangeShapeType="1" noTextEdit="1"/>
        </xdr:cNvSpPr>
      </xdr:nvSpPr>
      <xdr:spPr bwMode="auto">
        <a:xfrm>
          <a:off x="4819650" y="1638300"/>
          <a:ext cx="1504950" cy="247650"/>
        </a:xfrm>
        <a:prstGeom prst="rect">
          <a:avLst/>
        </a:prstGeom>
      </xdr:spPr>
      <xdr:txBody>
        <a:bodyPr wrap="none" fromWordArt="1">
          <a:prstTxWarp prst="textPlain">
            <a:avLst>
              <a:gd name="adj" fmla="val 50000"/>
            </a:avLst>
          </a:prstTxWarp>
        </a:bodyPr>
        <a:lstStyle/>
        <a:p>
          <a:pPr algn="ctr" rtl="0"/>
          <a:r>
            <a:rPr lang="el-GR"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Arial Black"/>
            </a:rPr>
            <a:t>Ποσοστό</a:t>
          </a:r>
          <a:endParaRPr lang="en-GB" sz="36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Arial Black"/>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38100</xdr:colOff>
      <xdr:row>7</xdr:row>
      <xdr:rowOff>47625</xdr:rowOff>
    </xdr:from>
    <xdr:to>
      <xdr:col>6</xdr:col>
      <xdr:colOff>0</xdr:colOff>
      <xdr:row>8</xdr:row>
      <xdr:rowOff>190500</xdr:rowOff>
    </xdr:to>
    <xdr:sp macro="" textlink="">
      <xdr:nvSpPr>
        <xdr:cNvPr id="2" name="Text Box 1"/>
        <xdr:cNvSpPr txBox="1">
          <a:spLocks noChangeArrowheads="1"/>
        </xdr:cNvSpPr>
      </xdr:nvSpPr>
      <xdr:spPr bwMode="auto">
        <a:xfrm>
          <a:off x="2247900" y="2495550"/>
          <a:ext cx="295275"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0</xdr:colOff>
      <xdr:row>7</xdr:row>
      <xdr:rowOff>57150</xdr:rowOff>
    </xdr:from>
    <xdr:to>
      <xdr:col>3</xdr:col>
      <xdr:colOff>247650</xdr:colOff>
      <xdr:row>8</xdr:row>
      <xdr:rowOff>200025</xdr:rowOff>
    </xdr:to>
    <xdr:sp macro="" textlink="">
      <xdr:nvSpPr>
        <xdr:cNvPr id="3" name="Text Box 2"/>
        <xdr:cNvSpPr txBox="1">
          <a:spLocks noChangeArrowheads="1"/>
        </xdr:cNvSpPr>
      </xdr:nvSpPr>
      <xdr:spPr bwMode="auto">
        <a:xfrm>
          <a:off x="1390650" y="25050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0</xdr:col>
      <xdr:colOff>219075</xdr:colOff>
      <xdr:row>0</xdr:row>
      <xdr:rowOff>104775</xdr:rowOff>
    </xdr:from>
    <xdr:to>
      <xdr:col>13</xdr:col>
      <xdr:colOff>104775</xdr:colOff>
      <xdr:row>0</xdr:row>
      <xdr:rowOff>571500</xdr:rowOff>
    </xdr:to>
    <xdr:sp macro="" textlink="">
      <xdr:nvSpPr>
        <xdr:cNvPr id="4" name="WordArt 3" descr="90%"/>
        <xdr:cNvSpPr>
          <a:spLocks noChangeArrowheads="1" noChangeShapeType="1" noTextEdit="1"/>
        </xdr:cNvSpPr>
      </xdr:nvSpPr>
      <xdr:spPr bwMode="auto">
        <a:xfrm>
          <a:off x="219075" y="104775"/>
          <a:ext cx="4791075" cy="4667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pattFill prst="pct90">
                <a:fgClr>
                  <a:srgbClr val="FF0000"/>
                </a:fgClr>
                <a:bgClr>
                  <a:srgbClr val="FFFFFF"/>
                </a:bgClr>
              </a:pattFill>
              <a:effectLst>
                <a:outerShdw dist="45791" dir="2021404" algn="ctr" rotWithShape="0">
                  <a:srgbClr val="9999FF"/>
                </a:outerShdw>
              </a:effectLst>
              <a:latin typeface="Comic Sans MS"/>
            </a:rPr>
            <a:t>Μετατροπή ποσοστού σε δεκαδικό</a:t>
          </a:r>
          <a:endParaRPr lang="en-GB" sz="3600" b="1" kern="10" spc="0">
            <a:ln w="12700">
              <a:solidFill>
                <a:srgbClr val="3333CC"/>
              </a:solidFill>
              <a:round/>
              <a:headEnd/>
              <a:tailEnd/>
            </a:ln>
            <a:pattFill prst="pct90">
              <a:fgClr>
                <a:srgbClr val="FF0000"/>
              </a:fgClr>
              <a:bgClr>
                <a:srgbClr val="FFFFFF"/>
              </a:bgClr>
            </a:pattFill>
            <a:effectLst>
              <a:outerShdw dist="45791" dir="2021404" algn="ctr" rotWithShape="0">
                <a:srgbClr val="9999FF"/>
              </a:outerShdw>
            </a:effectLst>
            <a:latin typeface="Comic Sans MS"/>
          </a:endParaRPr>
        </a:p>
      </xdr:txBody>
    </xdr:sp>
    <xdr:clientData/>
  </xdr:twoCellAnchor>
  <xdr:twoCellAnchor>
    <xdr:from>
      <xdr:col>3</xdr:col>
      <xdr:colOff>19050</xdr:colOff>
      <xdr:row>11</xdr:row>
      <xdr:rowOff>66675</xdr:rowOff>
    </xdr:from>
    <xdr:to>
      <xdr:col>4</xdr:col>
      <xdr:colOff>0</xdr:colOff>
      <xdr:row>12</xdr:row>
      <xdr:rowOff>209550</xdr:rowOff>
    </xdr:to>
    <xdr:sp macro="" textlink="">
      <xdr:nvSpPr>
        <xdr:cNvPr id="5" name="Text Box 4"/>
        <xdr:cNvSpPr txBox="1">
          <a:spLocks noChangeArrowheads="1"/>
        </xdr:cNvSpPr>
      </xdr:nvSpPr>
      <xdr:spPr bwMode="auto">
        <a:xfrm>
          <a:off x="1409700" y="35242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38100</xdr:colOff>
      <xdr:row>11</xdr:row>
      <xdr:rowOff>76200</xdr:rowOff>
    </xdr:from>
    <xdr:to>
      <xdr:col>5</xdr:col>
      <xdr:colOff>285750</xdr:colOff>
      <xdr:row>12</xdr:row>
      <xdr:rowOff>219075</xdr:rowOff>
    </xdr:to>
    <xdr:sp macro="" textlink="">
      <xdr:nvSpPr>
        <xdr:cNvPr id="6" name="Text Box 5"/>
        <xdr:cNvSpPr txBox="1">
          <a:spLocks noChangeArrowheads="1"/>
        </xdr:cNvSpPr>
      </xdr:nvSpPr>
      <xdr:spPr bwMode="auto">
        <a:xfrm>
          <a:off x="2247900" y="35337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15</xdr:row>
      <xdr:rowOff>47625</xdr:rowOff>
    </xdr:from>
    <xdr:to>
      <xdr:col>3</xdr:col>
      <xdr:colOff>219075</xdr:colOff>
      <xdr:row>16</xdr:row>
      <xdr:rowOff>190500</xdr:rowOff>
    </xdr:to>
    <xdr:sp macro="" textlink="">
      <xdr:nvSpPr>
        <xdr:cNvPr id="7" name="Text Box 6"/>
        <xdr:cNvSpPr txBox="1">
          <a:spLocks noChangeArrowheads="1"/>
        </xdr:cNvSpPr>
      </xdr:nvSpPr>
      <xdr:spPr bwMode="auto">
        <a:xfrm>
          <a:off x="1362075" y="45243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15</xdr:row>
      <xdr:rowOff>76200</xdr:rowOff>
    </xdr:from>
    <xdr:to>
      <xdr:col>5</xdr:col>
      <xdr:colOff>295275</xdr:colOff>
      <xdr:row>16</xdr:row>
      <xdr:rowOff>219075</xdr:rowOff>
    </xdr:to>
    <xdr:sp macro="" textlink="">
      <xdr:nvSpPr>
        <xdr:cNvPr id="8" name="Text Box 7"/>
        <xdr:cNvSpPr txBox="1">
          <a:spLocks noChangeArrowheads="1"/>
        </xdr:cNvSpPr>
      </xdr:nvSpPr>
      <xdr:spPr bwMode="auto">
        <a:xfrm>
          <a:off x="2257425" y="45529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28</xdr:row>
      <xdr:rowOff>57150</xdr:rowOff>
    </xdr:from>
    <xdr:to>
      <xdr:col>11</xdr:col>
      <xdr:colOff>85725</xdr:colOff>
      <xdr:row>29</xdr:row>
      <xdr:rowOff>581025</xdr:rowOff>
    </xdr:to>
    <xdr:sp macro="" textlink="">
      <xdr:nvSpPr>
        <xdr:cNvPr id="9" name="WordArt 11"/>
        <xdr:cNvSpPr>
          <a:spLocks noChangeArrowheads="1" noChangeShapeType="1" noTextEdit="1"/>
        </xdr:cNvSpPr>
      </xdr:nvSpPr>
      <xdr:spPr bwMode="auto">
        <a:xfrm>
          <a:off x="1762125" y="7848600"/>
          <a:ext cx="2714625" cy="781050"/>
        </a:xfrm>
        <a:prstGeom prst="rect">
          <a:avLst/>
        </a:prstGeom>
      </xdr:spPr>
      <xdr:txBody>
        <a:bodyPr wrap="none" fromWordArt="1">
          <a:prstTxWarp prst="textDoubleWave1">
            <a:avLst>
              <a:gd name="adj1" fmla="val 6500"/>
              <a:gd name="adj2" fmla="val 0"/>
            </a:avLst>
          </a:prstTxWarp>
        </a:bodyPr>
        <a:lstStyle/>
        <a:p>
          <a:pPr algn="ctr" rtl="0"/>
          <a:r>
            <a:rPr lang="el-GR"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rPr>
            <a:t>Ασκήσεις</a:t>
          </a:r>
          <a:endParaRPr lang="en-GB" sz="3600" b="1" kern="10" spc="-360">
            <a:ln w="12700">
              <a:solidFill>
                <a:srgbClr val="000099"/>
              </a:solidFill>
              <a:round/>
              <a:headEnd/>
              <a:tailEnd/>
            </a:ln>
            <a:solidFill>
              <a:srgbClr val="33CCFF"/>
            </a:solidFill>
            <a:effectLst>
              <a:outerShdw dist="125724" dir="18900000" algn="ctr" rotWithShape="0">
                <a:srgbClr val="000099"/>
              </a:outerShdw>
            </a:effectLst>
            <a:latin typeface="Comic Sans MS"/>
          </a:endParaRPr>
        </a:p>
      </xdr:txBody>
    </xdr:sp>
    <xdr:clientData/>
  </xdr:twoCellAnchor>
  <xdr:twoCellAnchor>
    <xdr:from>
      <xdr:col>0</xdr:col>
      <xdr:colOff>142875</xdr:colOff>
      <xdr:row>70</xdr:row>
      <xdr:rowOff>142875</xdr:rowOff>
    </xdr:from>
    <xdr:to>
      <xdr:col>4</xdr:col>
      <xdr:colOff>76200</xdr:colOff>
      <xdr:row>70</xdr:row>
      <xdr:rowOff>495300</xdr:rowOff>
    </xdr:to>
    <xdr:sp macro="" textlink="">
      <xdr:nvSpPr>
        <xdr:cNvPr id="10" name="WordArt 50"/>
        <xdr:cNvSpPr>
          <a:spLocks noChangeArrowheads="1" noChangeShapeType="1" noTextEdit="1"/>
        </xdr:cNvSpPr>
      </xdr:nvSpPr>
      <xdr:spPr bwMode="auto">
        <a:xfrm>
          <a:off x="142875" y="19011900"/>
          <a:ext cx="1590675" cy="3524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2</xdr:col>
      <xdr:colOff>104775</xdr:colOff>
      <xdr:row>232</xdr:row>
      <xdr:rowOff>66675</xdr:rowOff>
    </xdr:from>
    <xdr:to>
      <xdr:col>2</xdr:col>
      <xdr:colOff>361950</xdr:colOff>
      <xdr:row>233</xdr:row>
      <xdr:rowOff>209550</xdr:rowOff>
    </xdr:to>
    <xdr:sp macro="" textlink="">
      <xdr:nvSpPr>
        <xdr:cNvPr id="11" name="Text Box 64"/>
        <xdr:cNvSpPr txBox="1">
          <a:spLocks noChangeArrowheads="1"/>
        </xdr:cNvSpPr>
      </xdr:nvSpPr>
      <xdr:spPr bwMode="auto">
        <a:xfrm>
          <a:off x="1143000" y="596360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12" name="Text Box 65"/>
        <xdr:cNvSpPr txBox="1">
          <a:spLocks noChangeArrowheads="1"/>
        </xdr:cNvSpPr>
      </xdr:nvSpPr>
      <xdr:spPr bwMode="auto">
        <a:xfrm>
          <a:off x="1762125" y="59636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13" name="Text Box 66"/>
        <xdr:cNvSpPr txBox="1">
          <a:spLocks noChangeArrowheads="1"/>
        </xdr:cNvSpPr>
      </xdr:nvSpPr>
      <xdr:spPr bwMode="auto">
        <a:xfrm>
          <a:off x="2590800" y="59645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236</xdr:row>
      <xdr:rowOff>66675</xdr:rowOff>
    </xdr:from>
    <xdr:to>
      <xdr:col>2</xdr:col>
      <xdr:colOff>361950</xdr:colOff>
      <xdr:row>237</xdr:row>
      <xdr:rowOff>209550</xdr:rowOff>
    </xdr:to>
    <xdr:sp macro="" textlink="">
      <xdr:nvSpPr>
        <xdr:cNvPr id="14" name="Text Box 67"/>
        <xdr:cNvSpPr txBox="1">
          <a:spLocks noChangeArrowheads="1"/>
        </xdr:cNvSpPr>
      </xdr:nvSpPr>
      <xdr:spPr bwMode="auto">
        <a:xfrm>
          <a:off x="1143000" y="606266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15" name="Text Box 68"/>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16" name="Text Box 69"/>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240</xdr:row>
      <xdr:rowOff>66675</xdr:rowOff>
    </xdr:from>
    <xdr:to>
      <xdr:col>2</xdr:col>
      <xdr:colOff>361950</xdr:colOff>
      <xdr:row>241</xdr:row>
      <xdr:rowOff>209550</xdr:rowOff>
    </xdr:to>
    <xdr:sp macro="" textlink="">
      <xdr:nvSpPr>
        <xdr:cNvPr id="17" name="Text Box 70"/>
        <xdr:cNvSpPr txBox="1">
          <a:spLocks noChangeArrowheads="1"/>
        </xdr:cNvSpPr>
      </xdr:nvSpPr>
      <xdr:spPr bwMode="auto">
        <a:xfrm>
          <a:off x="1143000" y="616172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18" name="Text Box 71"/>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19" name="Text Box 72"/>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244</xdr:row>
      <xdr:rowOff>66675</xdr:rowOff>
    </xdr:from>
    <xdr:to>
      <xdr:col>2</xdr:col>
      <xdr:colOff>361950</xdr:colOff>
      <xdr:row>245</xdr:row>
      <xdr:rowOff>209550</xdr:rowOff>
    </xdr:to>
    <xdr:sp macro="" textlink="">
      <xdr:nvSpPr>
        <xdr:cNvPr id="20" name="Text Box 73"/>
        <xdr:cNvSpPr txBox="1">
          <a:spLocks noChangeArrowheads="1"/>
        </xdr:cNvSpPr>
      </xdr:nvSpPr>
      <xdr:spPr bwMode="auto">
        <a:xfrm>
          <a:off x="1143000" y="626078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21" name="Text Box 74"/>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22" name="Text Box 75"/>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248</xdr:row>
      <xdr:rowOff>66675</xdr:rowOff>
    </xdr:from>
    <xdr:to>
      <xdr:col>2</xdr:col>
      <xdr:colOff>361950</xdr:colOff>
      <xdr:row>249</xdr:row>
      <xdr:rowOff>209550</xdr:rowOff>
    </xdr:to>
    <xdr:sp macro="" textlink="">
      <xdr:nvSpPr>
        <xdr:cNvPr id="23" name="Text Box 76"/>
        <xdr:cNvSpPr txBox="1">
          <a:spLocks noChangeArrowheads="1"/>
        </xdr:cNvSpPr>
      </xdr:nvSpPr>
      <xdr:spPr bwMode="auto">
        <a:xfrm>
          <a:off x="1143000" y="635984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24" name="Text Box 77"/>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25" name="Text Box 78"/>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252</xdr:row>
      <xdr:rowOff>66675</xdr:rowOff>
    </xdr:from>
    <xdr:to>
      <xdr:col>2</xdr:col>
      <xdr:colOff>361950</xdr:colOff>
      <xdr:row>253</xdr:row>
      <xdr:rowOff>209550</xdr:rowOff>
    </xdr:to>
    <xdr:sp macro="" textlink="">
      <xdr:nvSpPr>
        <xdr:cNvPr id="26" name="Text Box 79"/>
        <xdr:cNvSpPr txBox="1">
          <a:spLocks noChangeArrowheads="1"/>
        </xdr:cNvSpPr>
      </xdr:nvSpPr>
      <xdr:spPr bwMode="auto">
        <a:xfrm>
          <a:off x="1143000" y="645890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27" name="Text Box 80"/>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28" name="Text Box 81"/>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104775</xdr:colOff>
      <xdr:row>256</xdr:row>
      <xdr:rowOff>66675</xdr:rowOff>
    </xdr:from>
    <xdr:to>
      <xdr:col>2</xdr:col>
      <xdr:colOff>361950</xdr:colOff>
      <xdr:row>257</xdr:row>
      <xdr:rowOff>209550</xdr:rowOff>
    </xdr:to>
    <xdr:sp macro="" textlink="">
      <xdr:nvSpPr>
        <xdr:cNvPr id="29" name="Text Box 82"/>
        <xdr:cNvSpPr txBox="1">
          <a:spLocks noChangeArrowheads="1"/>
        </xdr:cNvSpPr>
      </xdr:nvSpPr>
      <xdr:spPr bwMode="auto">
        <a:xfrm>
          <a:off x="1143000" y="6557962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30" name="Text Box 83"/>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31" name="Text Box 84"/>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152400</xdr:colOff>
      <xdr:row>121</xdr:row>
      <xdr:rowOff>9525</xdr:rowOff>
    </xdr:from>
    <xdr:to>
      <xdr:col>8</xdr:col>
      <xdr:colOff>209550</xdr:colOff>
      <xdr:row>126</xdr:row>
      <xdr:rowOff>209550</xdr:rowOff>
    </xdr:to>
    <xdr:sp macro="" textlink="">
      <xdr:nvSpPr>
        <xdr:cNvPr id="32" name="WordArt 110">
          <a:hlinkClick xmlns:r="http://schemas.openxmlformats.org/officeDocument/2006/relationships" r:id="rId1"/>
        </xdr:cNvPr>
        <xdr:cNvSpPr>
          <a:spLocks noChangeArrowheads="1" noChangeShapeType="1" noTextEdit="1"/>
        </xdr:cNvSpPr>
      </xdr:nvSpPr>
      <xdr:spPr bwMode="auto">
        <a:xfrm>
          <a:off x="2362200" y="32089725"/>
          <a:ext cx="1495425" cy="1438275"/>
        </a:xfrm>
        <a:prstGeom prst="rect">
          <a:avLst/>
        </a:prstGeom>
      </xdr:spPr>
      <xdr:txBody>
        <a:bodyPr wrap="none" fromWordArt="1">
          <a:prstTxWarp prst="textSlantUp">
            <a:avLst>
              <a:gd name="adj" fmla="val 32056"/>
            </a:avLst>
          </a:prstTxWarp>
        </a:bodyPr>
        <a:lstStyle/>
        <a:p>
          <a:pPr algn="ctr" rtl="0"/>
          <a:r>
            <a:rPr lang="el-GR" sz="3600" b="1"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Comic Sans MS"/>
            </a:rPr>
            <a:t>Τέλος</a:t>
          </a:r>
          <a:endParaRPr lang="en-GB" sz="3600" b="1" kern="10" spc="0">
            <a:ln w="9525">
              <a:solidFill>
                <a:srgbClr val="CC99FF"/>
              </a:solidFill>
              <a:round/>
              <a:headEnd/>
              <a:tailEnd/>
            </a:ln>
            <a:gradFill rotWithShape="0">
              <a:gsLst>
                <a:gs pos="0">
                  <a:srgbClr val="6600CC"/>
                </a:gs>
                <a:gs pos="100000">
                  <a:srgbClr val="CC00CC"/>
                </a:gs>
              </a:gsLst>
              <a:lin ang="5400000" scaled="1"/>
            </a:gradFill>
            <a:effectLst>
              <a:outerShdw dist="53882" dir="2700000" algn="ctr" rotWithShape="0">
                <a:srgbClr val="9999FF"/>
              </a:outerShdw>
            </a:effectLst>
            <a:latin typeface="Comic Sans MS"/>
          </a:endParaRPr>
        </a:p>
      </xdr:txBody>
    </xdr:sp>
    <xdr:clientData/>
  </xdr:twoCellAnchor>
  <xdr:twoCellAnchor>
    <xdr:from>
      <xdr:col>10</xdr:col>
      <xdr:colOff>152400</xdr:colOff>
      <xdr:row>71</xdr:row>
      <xdr:rowOff>38100</xdr:rowOff>
    </xdr:from>
    <xdr:to>
      <xdr:col>20</xdr:col>
      <xdr:colOff>142875</xdr:colOff>
      <xdr:row>73</xdr:row>
      <xdr:rowOff>85725</xdr:rowOff>
    </xdr:to>
    <xdr:sp macro="" textlink="">
      <xdr:nvSpPr>
        <xdr:cNvPr id="33" name="AutoShape 113">
          <a:hlinkClick xmlns:r="http://schemas.openxmlformats.org/officeDocument/2006/relationships" r:id="rId2"/>
        </xdr:cNvPr>
        <xdr:cNvSpPr>
          <a:spLocks noChangeArrowheads="1"/>
        </xdr:cNvSpPr>
      </xdr:nvSpPr>
      <xdr:spPr bwMode="auto">
        <a:xfrm>
          <a:off x="4286250" y="1945005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14</xdr:col>
      <xdr:colOff>76200</xdr:colOff>
      <xdr:row>0</xdr:row>
      <xdr:rowOff>142875</xdr:rowOff>
    </xdr:from>
    <xdr:to>
      <xdr:col>21</xdr:col>
      <xdr:colOff>200025</xdr:colOff>
      <xdr:row>0</xdr:row>
      <xdr:rowOff>647700</xdr:rowOff>
    </xdr:to>
    <xdr:sp macro="" textlink="">
      <xdr:nvSpPr>
        <xdr:cNvPr id="34" name="AutoShape 116">
          <a:hlinkClick xmlns:r="http://schemas.openxmlformats.org/officeDocument/2006/relationships" r:id="rId3"/>
        </xdr:cNvPr>
        <xdr:cNvSpPr>
          <a:spLocks noChangeArrowheads="1"/>
        </xdr:cNvSpPr>
      </xdr:nvSpPr>
      <xdr:spPr bwMode="auto">
        <a:xfrm>
          <a:off x="5114925" y="142875"/>
          <a:ext cx="2171700"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35" name="Text Box 181"/>
        <xdr:cNvSpPr txBox="1">
          <a:spLocks noChangeArrowheads="1"/>
        </xdr:cNvSpPr>
      </xdr:nvSpPr>
      <xdr:spPr bwMode="auto">
        <a:xfrm>
          <a:off x="1762125" y="59636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36" name="Text Box 182"/>
        <xdr:cNvSpPr txBox="1">
          <a:spLocks noChangeArrowheads="1"/>
        </xdr:cNvSpPr>
      </xdr:nvSpPr>
      <xdr:spPr bwMode="auto">
        <a:xfrm>
          <a:off x="2590800" y="59645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37" name="Text Box 183"/>
        <xdr:cNvSpPr txBox="1">
          <a:spLocks noChangeArrowheads="1"/>
        </xdr:cNvSpPr>
      </xdr:nvSpPr>
      <xdr:spPr bwMode="auto">
        <a:xfrm>
          <a:off x="1762125" y="59636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38" name="Text Box 184"/>
        <xdr:cNvSpPr txBox="1">
          <a:spLocks noChangeArrowheads="1"/>
        </xdr:cNvSpPr>
      </xdr:nvSpPr>
      <xdr:spPr bwMode="auto">
        <a:xfrm>
          <a:off x="2590800" y="59645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39" name="Text Box 185"/>
        <xdr:cNvSpPr txBox="1">
          <a:spLocks noChangeArrowheads="1"/>
        </xdr:cNvSpPr>
      </xdr:nvSpPr>
      <xdr:spPr bwMode="auto">
        <a:xfrm>
          <a:off x="1762125" y="59636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40" name="Text Box 186"/>
        <xdr:cNvSpPr txBox="1">
          <a:spLocks noChangeArrowheads="1"/>
        </xdr:cNvSpPr>
      </xdr:nvSpPr>
      <xdr:spPr bwMode="auto">
        <a:xfrm>
          <a:off x="2590800" y="59645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41" name="Text Box 187"/>
        <xdr:cNvSpPr txBox="1">
          <a:spLocks noChangeArrowheads="1"/>
        </xdr:cNvSpPr>
      </xdr:nvSpPr>
      <xdr:spPr bwMode="auto">
        <a:xfrm>
          <a:off x="1762125" y="59636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42" name="Text Box 188"/>
        <xdr:cNvSpPr txBox="1">
          <a:spLocks noChangeArrowheads="1"/>
        </xdr:cNvSpPr>
      </xdr:nvSpPr>
      <xdr:spPr bwMode="auto">
        <a:xfrm>
          <a:off x="2590800" y="59645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232</xdr:row>
      <xdr:rowOff>66675</xdr:rowOff>
    </xdr:from>
    <xdr:to>
      <xdr:col>5</xdr:col>
      <xdr:colOff>19050</xdr:colOff>
      <xdr:row>233</xdr:row>
      <xdr:rowOff>209550</xdr:rowOff>
    </xdr:to>
    <xdr:sp macro="" textlink="">
      <xdr:nvSpPr>
        <xdr:cNvPr id="43" name="Text Box 189"/>
        <xdr:cNvSpPr txBox="1">
          <a:spLocks noChangeArrowheads="1"/>
        </xdr:cNvSpPr>
      </xdr:nvSpPr>
      <xdr:spPr bwMode="auto">
        <a:xfrm>
          <a:off x="1762125" y="59636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232</xdr:row>
      <xdr:rowOff>76200</xdr:rowOff>
    </xdr:from>
    <xdr:to>
      <xdr:col>6</xdr:col>
      <xdr:colOff>295275</xdr:colOff>
      <xdr:row>233</xdr:row>
      <xdr:rowOff>219075</xdr:rowOff>
    </xdr:to>
    <xdr:sp macro="" textlink="">
      <xdr:nvSpPr>
        <xdr:cNvPr id="44" name="Text Box 190"/>
        <xdr:cNvSpPr txBox="1">
          <a:spLocks noChangeArrowheads="1"/>
        </xdr:cNvSpPr>
      </xdr:nvSpPr>
      <xdr:spPr bwMode="auto">
        <a:xfrm>
          <a:off x="2590800" y="59645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45" name="Text Box 191"/>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46" name="Text Box 192"/>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47" name="Text Box 193"/>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48" name="Text Box 194"/>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49" name="Text Box 195"/>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50" name="Text Box 196"/>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51" name="Text Box 197"/>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52" name="Text Box 198"/>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53" name="Text Box 199"/>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54" name="Text Box 200"/>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236</xdr:row>
      <xdr:rowOff>66675</xdr:rowOff>
    </xdr:from>
    <xdr:to>
      <xdr:col>5</xdr:col>
      <xdr:colOff>19050</xdr:colOff>
      <xdr:row>237</xdr:row>
      <xdr:rowOff>209550</xdr:rowOff>
    </xdr:to>
    <xdr:sp macro="" textlink="">
      <xdr:nvSpPr>
        <xdr:cNvPr id="55" name="Text Box 201"/>
        <xdr:cNvSpPr txBox="1">
          <a:spLocks noChangeArrowheads="1"/>
        </xdr:cNvSpPr>
      </xdr:nvSpPr>
      <xdr:spPr bwMode="auto">
        <a:xfrm>
          <a:off x="1762125" y="60626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236</xdr:row>
      <xdr:rowOff>76200</xdr:rowOff>
    </xdr:from>
    <xdr:to>
      <xdr:col>6</xdr:col>
      <xdr:colOff>295275</xdr:colOff>
      <xdr:row>237</xdr:row>
      <xdr:rowOff>219075</xdr:rowOff>
    </xdr:to>
    <xdr:sp macro="" textlink="">
      <xdr:nvSpPr>
        <xdr:cNvPr id="56" name="Text Box 202"/>
        <xdr:cNvSpPr txBox="1">
          <a:spLocks noChangeArrowheads="1"/>
        </xdr:cNvSpPr>
      </xdr:nvSpPr>
      <xdr:spPr bwMode="auto">
        <a:xfrm>
          <a:off x="2590800" y="60636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57" name="Text Box 203"/>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58" name="Text Box 204"/>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59" name="Text Box 205"/>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60" name="Text Box 206"/>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61" name="Text Box 207"/>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62" name="Text Box 208"/>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63" name="Text Box 209"/>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64" name="Text Box 210"/>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65" name="Text Box 211"/>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66" name="Text Box 212"/>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67" name="Text Box 213"/>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68" name="Text Box 214"/>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240</xdr:row>
      <xdr:rowOff>66675</xdr:rowOff>
    </xdr:from>
    <xdr:to>
      <xdr:col>5</xdr:col>
      <xdr:colOff>19050</xdr:colOff>
      <xdr:row>241</xdr:row>
      <xdr:rowOff>209550</xdr:rowOff>
    </xdr:to>
    <xdr:sp macro="" textlink="">
      <xdr:nvSpPr>
        <xdr:cNvPr id="69" name="Text Box 215"/>
        <xdr:cNvSpPr txBox="1">
          <a:spLocks noChangeArrowheads="1"/>
        </xdr:cNvSpPr>
      </xdr:nvSpPr>
      <xdr:spPr bwMode="auto">
        <a:xfrm>
          <a:off x="1762125" y="616172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240</xdr:row>
      <xdr:rowOff>76200</xdr:rowOff>
    </xdr:from>
    <xdr:to>
      <xdr:col>6</xdr:col>
      <xdr:colOff>295275</xdr:colOff>
      <xdr:row>241</xdr:row>
      <xdr:rowOff>219075</xdr:rowOff>
    </xdr:to>
    <xdr:sp macro="" textlink="">
      <xdr:nvSpPr>
        <xdr:cNvPr id="70" name="Text Box 216"/>
        <xdr:cNvSpPr txBox="1">
          <a:spLocks noChangeArrowheads="1"/>
        </xdr:cNvSpPr>
      </xdr:nvSpPr>
      <xdr:spPr bwMode="auto">
        <a:xfrm>
          <a:off x="2590800" y="616267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71" name="Text Box 217"/>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72" name="Text Box 218"/>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73" name="Text Box 219"/>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74" name="Text Box 220"/>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75" name="Text Box 221"/>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76" name="Text Box 222"/>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77" name="Text Box 223"/>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78" name="Text Box 224"/>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79" name="Text Box 225"/>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80" name="Text Box 226"/>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81" name="Text Box 227"/>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82" name="Text Box 228"/>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83" name="Text Box 229"/>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84" name="Text Box 230"/>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244</xdr:row>
      <xdr:rowOff>66675</xdr:rowOff>
    </xdr:from>
    <xdr:to>
      <xdr:col>5</xdr:col>
      <xdr:colOff>19050</xdr:colOff>
      <xdr:row>245</xdr:row>
      <xdr:rowOff>209550</xdr:rowOff>
    </xdr:to>
    <xdr:sp macro="" textlink="">
      <xdr:nvSpPr>
        <xdr:cNvPr id="85" name="Text Box 231"/>
        <xdr:cNvSpPr txBox="1">
          <a:spLocks noChangeArrowheads="1"/>
        </xdr:cNvSpPr>
      </xdr:nvSpPr>
      <xdr:spPr bwMode="auto">
        <a:xfrm>
          <a:off x="1762125" y="626078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244</xdr:row>
      <xdr:rowOff>76200</xdr:rowOff>
    </xdr:from>
    <xdr:to>
      <xdr:col>6</xdr:col>
      <xdr:colOff>295275</xdr:colOff>
      <xdr:row>245</xdr:row>
      <xdr:rowOff>219075</xdr:rowOff>
    </xdr:to>
    <xdr:sp macro="" textlink="">
      <xdr:nvSpPr>
        <xdr:cNvPr id="86" name="Text Box 232"/>
        <xdr:cNvSpPr txBox="1">
          <a:spLocks noChangeArrowheads="1"/>
        </xdr:cNvSpPr>
      </xdr:nvSpPr>
      <xdr:spPr bwMode="auto">
        <a:xfrm>
          <a:off x="2590800" y="626173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87" name="Text Box 233"/>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88" name="Text Box 234"/>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89" name="Text Box 235"/>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90" name="Text Box 236"/>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91" name="Text Box 237"/>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92" name="Text Box 238"/>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93" name="Text Box 239"/>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94" name="Text Box 240"/>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95" name="Text Box 241"/>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96" name="Text Box 242"/>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97" name="Text Box 243"/>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98" name="Text Box 244"/>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99" name="Text Box 245"/>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100" name="Text Box 246"/>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101" name="Text Box 247"/>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102" name="Text Box 248"/>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248</xdr:row>
      <xdr:rowOff>66675</xdr:rowOff>
    </xdr:from>
    <xdr:to>
      <xdr:col>5</xdr:col>
      <xdr:colOff>19050</xdr:colOff>
      <xdr:row>249</xdr:row>
      <xdr:rowOff>209550</xdr:rowOff>
    </xdr:to>
    <xdr:sp macro="" textlink="">
      <xdr:nvSpPr>
        <xdr:cNvPr id="103" name="Text Box 249"/>
        <xdr:cNvSpPr txBox="1">
          <a:spLocks noChangeArrowheads="1"/>
        </xdr:cNvSpPr>
      </xdr:nvSpPr>
      <xdr:spPr bwMode="auto">
        <a:xfrm>
          <a:off x="1762125" y="635984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248</xdr:row>
      <xdr:rowOff>76200</xdr:rowOff>
    </xdr:from>
    <xdr:to>
      <xdr:col>6</xdr:col>
      <xdr:colOff>295275</xdr:colOff>
      <xdr:row>249</xdr:row>
      <xdr:rowOff>219075</xdr:rowOff>
    </xdr:to>
    <xdr:sp macro="" textlink="">
      <xdr:nvSpPr>
        <xdr:cNvPr id="104" name="Text Box 250"/>
        <xdr:cNvSpPr txBox="1">
          <a:spLocks noChangeArrowheads="1"/>
        </xdr:cNvSpPr>
      </xdr:nvSpPr>
      <xdr:spPr bwMode="auto">
        <a:xfrm>
          <a:off x="2590800" y="636079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05" name="Text Box 251"/>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06" name="Text Box 252"/>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07" name="Text Box 253"/>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08" name="Text Box 254"/>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09" name="Text Box 255"/>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10" name="Text Box 256"/>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11" name="Text Box 257"/>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12" name="Text Box 258"/>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13" name="Text Box 259"/>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14" name="Text Box 260"/>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15" name="Text Box 261"/>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16" name="Text Box 262"/>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17" name="Text Box 263"/>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18" name="Text Box 264"/>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19" name="Text Box 265"/>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20" name="Text Box 266"/>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21" name="Text Box 267"/>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22" name="Text Box 268"/>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252</xdr:row>
      <xdr:rowOff>66675</xdr:rowOff>
    </xdr:from>
    <xdr:to>
      <xdr:col>5</xdr:col>
      <xdr:colOff>19050</xdr:colOff>
      <xdr:row>253</xdr:row>
      <xdr:rowOff>209550</xdr:rowOff>
    </xdr:to>
    <xdr:sp macro="" textlink="">
      <xdr:nvSpPr>
        <xdr:cNvPr id="123" name="Text Box 269"/>
        <xdr:cNvSpPr txBox="1">
          <a:spLocks noChangeArrowheads="1"/>
        </xdr:cNvSpPr>
      </xdr:nvSpPr>
      <xdr:spPr bwMode="auto">
        <a:xfrm>
          <a:off x="1762125" y="645890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252</xdr:row>
      <xdr:rowOff>76200</xdr:rowOff>
    </xdr:from>
    <xdr:to>
      <xdr:col>6</xdr:col>
      <xdr:colOff>295275</xdr:colOff>
      <xdr:row>253</xdr:row>
      <xdr:rowOff>219075</xdr:rowOff>
    </xdr:to>
    <xdr:sp macro="" textlink="">
      <xdr:nvSpPr>
        <xdr:cNvPr id="124" name="Text Box 270"/>
        <xdr:cNvSpPr txBox="1">
          <a:spLocks noChangeArrowheads="1"/>
        </xdr:cNvSpPr>
      </xdr:nvSpPr>
      <xdr:spPr bwMode="auto">
        <a:xfrm>
          <a:off x="2590800" y="645985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25" name="Text Box 271"/>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26" name="Text Box 272"/>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27" name="Text Box 273"/>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28" name="Text Box 274"/>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29" name="Text Box 275"/>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30" name="Text Box 276"/>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31" name="Text Box 277"/>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32" name="Text Box 278"/>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33" name="Text Box 279"/>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34" name="Text Box 280"/>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35" name="Text Box 281"/>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36" name="Text Box 282"/>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37" name="Text Box 283"/>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38" name="Text Box 284"/>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39" name="Text Box 285"/>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40" name="Text Box 286"/>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41" name="Text Box 287"/>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42" name="Text Box 288"/>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43" name="Text Box 289"/>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44" name="Text Box 290"/>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4</xdr:col>
      <xdr:colOff>104775</xdr:colOff>
      <xdr:row>256</xdr:row>
      <xdr:rowOff>66675</xdr:rowOff>
    </xdr:from>
    <xdr:to>
      <xdr:col>5</xdr:col>
      <xdr:colOff>19050</xdr:colOff>
      <xdr:row>257</xdr:row>
      <xdr:rowOff>209550</xdr:rowOff>
    </xdr:to>
    <xdr:sp macro="" textlink="">
      <xdr:nvSpPr>
        <xdr:cNvPr id="145" name="Text Box 291"/>
        <xdr:cNvSpPr txBox="1">
          <a:spLocks noChangeArrowheads="1"/>
        </xdr:cNvSpPr>
      </xdr:nvSpPr>
      <xdr:spPr bwMode="auto">
        <a:xfrm>
          <a:off x="1762125" y="65579625"/>
          <a:ext cx="466725"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6</xdr:col>
      <xdr:colOff>47625</xdr:colOff>
      <xdr:row>256</xdr:row>
      <xdr:rowOff>76200</xdr:rowOff>
    </xdr:from>
    <xdr:to>
      <xdr:col>6</xdr:col>
      <xdr:colOff>295275</xdr:colOff>
      <xdr:row>257</xdr:row>
      <xdr:rowOff>219075</xdr:rowOff>
    </xdr:to>
    <xdr:sp macro="" textlink="">
      <xdr:nvSpPr>
        <xdr:cNvPr id="146" name="Text Box 292"/>
        <xdr:cNvSpPr txBox="1">
          <a:spLocks noChangeArrowheads="1"/>
        </xdr:cNvSpPr>
      </xdr:nvSpPr>
      <xdr:spPr bwMode="auto">
        <a:xfrm>
          <a:off x="2590800" y="6558915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19</xdr:row>
      <xdr:rowOff>47625</xdr:rowOff>
    </xdr:from>
    <xdr:to>
      <xdr:col>3</xdr:col>
      <xdr:colOff>219075</xdr:colOff>
      <xdr:row>20</xdr:row>
      <xdr:rowOff>190500</xdr:rowOff>
    </xdr:to>
    <xdr:sp macro="" textlink="">
      <xdr:nvSpPr>
        <xdr:cNvPr id="147" name="Text Box 543"/>
        <xdr:cNvSpPr txBox="1">
          <a:spLocks noChangeArrowheads="1"/>
        </xdr:cNvSpPr>
      </xdr:nvSpPr>
      <xdr:spPr bwMode="auto">
        <a:xfrm>
          <a:off x="1362075" y="553402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19</xdr:row>
      <xdr:rowOff>76200</xdr:rowOff>
    </xdr:from>
    <xdr:to>
      <xdr:col>5</xdr:col>
      <xdr:colOff>295275</xdr:colOff>
      <xdr:row>20</xdr:row>
      <xdr:rowOff>219075</xdr:rowOff>
    </xdr:to>
    <xdr:sp macro="" textlink="">
      <xdr:nvSpPr>
        <xdr:cNvPr id="148" name="Text Box 544"/>
        <xdr:cNvSpPr txBox="1">
          <a:spLocks noChangeArrowheads="1"/>
        </xdr:cNvSpPr>
      </xdr:nvSpPr>
      <xdr:spPr bwMode="auto">
        <a:xfrm>
          <a:off x="2257425" y="55626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38100</xdr:colOff>
      <xdr:row>31</xdr:row>
      <xdr:rowOff>47625</xdr:rowOff>
    </xdr:from>
    <xdr:to>
      <xdr:col>6</xdr:col>
      <xdr:colOff>0</xdr:colOff>
      <xdr:row>32</xdr:row>
      <xdr:rowOff>190500</xdr:rowOff>
    </xdr:to>
    <xdr:sp macro="" textlink="">
      <xdr:nvSpPr>
        <xdr:cNvPr id="149" name="Text Box 548"/>
        <xdr:cNvSpPr txBox="1">
          <a:spLocks noChangeArrowheads="1"/>
        </xdr:cNvSpPr>
      </xdr:nvSpPr>
      <xdr:spPr bwMode="auto">
        <a:xfrm>
          <a:off x="2247900" y="8963025"/>
          <a:ext cx="295275"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0</xdr:colOff>
      <xdr:row>31</xdr:row>
      <xdr:rowOff>57150</xdr:rowOff>
    </xdr:from>
    <xdr:to>
      <xdr:col>3</xdr:col>
      <xdr:colOff>247650</xdr:colOff>
      <xdr:row>32</xdr:row>
      <xdr:rowOff>200025</xdr:rowOff>
    </xdr:to>
    <xdr:sp macro="" textlink="">
      <xdr:nvSpPr>
        <xdr:cNvPr id="150" name="Text Box 549"/>
        <xdr:cNvSpPr txBox="1">
          <a:spLocks noChangeArrowheads="1"/>
        </xdr:cNvSpPr>
      </xdr:nvSpPr>
      <xdr:spPr bwMode="auto">
        <a:xfrm>
          <a:off x="1390650" y="89725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19050</xdr:colOff>
      <xdr:row>35</xdr:row>
      <xdr:rowOff>66675</xdr:rowOff>
    </xdr:from>
    <xdr:to>
      <xdr:col>4</xdr:col>
      <xdr:colOff>0</xdr:colOff>
      <xdr:row>36</xdr:row>
      <xdr:rowOff>209550</xdr:rowOff>
    </xdr:to>
    <xdr:sp macro="" textlink="">
      <xdr:nvSpPr>
        <xdr:cNvPr id="151" name="Text Box 550"/>
        <xdr:cNvSpPr txBox="1">
          <a:spLocks noChangeArrowheads="1"/>
        </xdr:cNvSpPr>
      </xdr:nvSpPr>
      <xdr:spPr bwMode="auto">
        <a:xfrm>
          <a:off x="1409700" y="9991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38100</xdr:colOff>
      <xdr:row>35</xdr:row>
      <xdr:rowOff>76200</xdr:rowOff>
    </xdr:from>
    <xdr:to>
      <xdr:col>5</xdr:col>
      <xdr:colOff>285750</xdr:colOff>
      <xdr:row>36</xdr:row>
      <xdr:rowOff>219075</xdr:rowOff>
    </xdr:to>
    <xdr:sp macro="" textlink="">
      <xdr:nvSpPr>
        <xdr:cNvPr id="152" name="Text Box 551"/>
        <xdr:cNvSpPr txBox="1">
          <a:spLocks noChangeArrowheads="1"/>
        </xdr:cNvSpPr>
      </xdr:nvSpPr>
      <xdr:spPr bwMode="auto">
        <a:xfrm>
          <a:off x="2247900" y="100012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39</xdr:row>
      <xdr:rowOff>47625</xdr:rowOff>
    </xdr:from>
    <xdr:to>
      <xdr:col>3</xdr:col>
      <xdr:colOff>219075</xdr:colOff>
      <xdr:row>40</xdr:row>
      <xdr:rowOff>190500</xdr:rowOff>
    </xdr:to>
    <xdr:sp macro="" textlink="">
      <xdr:nvSpPr>
        <xdr:cNvPr id="153" name="Text Box 552"/>
        <xdr:cNvSpPr txBox="1">
          <a:spLocks noChangeArrowheads="1"/>
        </xdr:cNvSpPr>
      </xdr:nvSpPr>
      <xdr:spPr bwMode="auto">
        <a:xfrm>
          <a:off x="1362075" y="109918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39</xdr:row>
      <xdr:rowOff>76200</xdr:rowOff>
    </xdr:from>
    <xdr:to>
      <xdr:col>5</xdr:col>
      <xdr:colOff>295275</xdr:colOff>
      <xdr:row>40</xdr:row>
      <xdr:rowOff>219075</xdr:rowOff>
    </xdr:to>
    <xdr:sp macro="" textlink="">
      <xdr:nvSpPr>
        <xdr:cNvPr id="154" name="Text Box 553"/>
        <xdr:cNvSpPr txBox="1">
          <a:spLocks noChangeArrowheads="1"/>
        </xdr:cNvSpPr>
      </xdr:nvSpPr>
      <xdr:spPr bwMode="auto">
        <a:xfrm>
          <a:off x="2257425" y="110204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43</xdr:row>
      <xdr:rowOff>47625</xdr:rowOff>
    </xdr:from>
    <xdr:to>
      <xdr:col>3</xdr:col>
      <xdr:colOff>219075</xdr:colOff>
      <xdr:row>44</xdr:row>
      <xdr:rowOff>190500</xdr:rowOff>
    </xdr:to>
    <xdr:sp macro="" textlink="">
      <xdr:nvSpPr>
        <xdr:cNvPr id="155" name="Text Box 554"/>
        <xdr:cNvSpPr txBox="1">
          <a:spLocks noChangeArrowheads="1"/>
        </xdr:cNvSpPr>
      </xdr:nvSpPr>
      <xdr:spPr bwMode="auto">
        <a:xfrm>
          <a:off x="1362075" y="1200150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43</xdr:row>
      <xdr:rowOff>76200</xdr:rowOff>
    </xdr:from>
    <xdr:to>
      <xdr:col>5</xdr:col>
      <xdr:colOff>295275</xdr:colOff>
      <xdr:row>44</xdr:row>
      <xdr:rowOff>219075</xdr:rowOff>
    </xdr:to>
    <xdr:sp macro="" textlink="">
      <xdr:nvSpPr>
        <xdr:cNvPr id="156" name="Text Box 555"/>
        <xdr:cNvSpPr txBox="1">
          <a:spLocks noChangeArrowheads="1"/>
        </xdr:cNvSpPr>
      </xdr:nvSpPr>
      <xdr:spPr bwMode="auto">
        <a:xfrm>
          <a:off x="2257425" y="120300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23</xdr:row>
      <xdr:rowOff>47625</xdr:rowOff>
    </xdr:from>
    <xdr:to>
      <xdr:col>3</xdr:col>
      <xdr:colOff>219075</xdr:colOff>
      <xdr:row>24</xdr:row>
      <xdr:rowOff>190500</xdr:rowOff>
    </xdr:to>
    <xdr:sp macro="" textlink="">
      <xdr:nvSpPr>
        <xdr:cNvPr id="157" name="Text Box 562"/>
        <xdr:cNvSpPr txBox="1">
          <a:spLocks noChangeArrowheads="1"/>
        </xdr:cNvSpPr>
      </xdr:nvSpPr>
      <xdr:spPr bwMode="auto">
        <a:xfrm>
          <a:off x="1362075" y="658177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23</xdr:row>
      <xdr:rowOff>76200</xdr:rowOff>
    </xdr:from>
    <xdr:to>
      <xdr:col>5</xdr:col>
      <xdr:colOff>295275</xdr:colOff>
      <xdr:row>24</xdr:row>
      <xdr:rowOff>219075</xdr:rowOff>
    </xdr:to>
    <xdr:sp macro="" textlink="">
      <xdr:nvSpPr>
        <xdr:cNvPr id="158" name="Text Box 563"/>
        <xdr:cNvSpPr txBox="1">
          <a:spLocks noChangeArrowheads="1"/>
        </xdr:cNvSpPr>
      </xdr:nvSpPr>
      <xdr:spPr bwMode="auto">
        <a:xfrm>
          <a:off x="2257425" y="66103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47</xdr:row>
      <xdr:rowOff>47625</xdr:rowOff>
    </xdr:from>
    <xdr:to>
      <xdr:col>3</xdr:col>
      <xdr:colOff>219075</xdr:colOff>
      <xdr:row>48</xdr:row>
      <xdr:rowOff>190500</xdr:rowOff>
    </xdr:to>
    <xdr:sp macro="" textlink="">
      <xdr:nvSpPr>
        <xdr:cNvPr id="159" name="Text Box 565"/>
        <xdr:cNvSpPr txBox="1">
          <a:spLocks noChangeArrowheads="1"/>
        </xdr:cNvSpPr>
      </xdr:nvSpPr>
      <xdr:spPr bwMode="auto">
        <a:xfrm>
          <a:off x="1362075" y="130492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47</xdr:row>
      <xdr:rowOff>76200</xdr:rowOff>
    </xdr:from>
    <xdr:to>
      <xdr:col>5</xdr:col>
      <xdr:colOff>295275</xdr:colOff>
      <xdr:row>48</xdr:row>
      <xdr:rowOff>219075</xdr:rowOff>
    </xdr:to>
    <xdr:sp macro="" textlink="">
      <xdr:nvSpPr>
        <xdr:cNvPr id="160" name="Text Box 566"/>
        <xdr:cNvSpPr txBox="1">
          <a:spLocks noChangeArrowheads="1"/>
        </xdr:cNvSpPr>
      </xdr:nvSpPr>
      <xdr:spPr bwMode="auto">
        <a:xfrm>
          <a:off x="2257425" y="13077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38100</xdr:colOff>
      <xdr:row>51</xdr:row>
      <xdr:rowOff>47625</xdr:rowOff>
    </xdr:from>
    <xdr:to>
      <xdr:col>6</xdr:col>
      <xdr:colOff>0</xdr:colOff>
      <xdr:row>52</xdr:row>
      <xdr:rowOff>190500</xdr:rowOff>
    </xdr:to>
    <xdr:sp macro="" textlink="">
      <xdr:nvSpPr>
        <xdr:cNvPr id="161" name="Text Box 571"/>
        <xdr:cNvSpPr txBox="1">
          <a:spLocks noChangeArrowheads="1"/>
        </xdr:cNvSpPr>
      </xdr:nvSpPr>
      <xdr:spPr bwMode="auto">
        <a:xfrm>
          <a:off x="2247900" y="14058900"/>
          <a:ext cx="295275"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0</xdr:colOff>
      <xdr:row>51</xdr:row>
      <xdr:rowOff>57150</xdr:rowOff>
    </xdr:from>
    <xdr:to>
      <xdr:col>3</xdr:col>
      <xdr:colOff>247650</xdr:colOff>
      <xdr:row>52</xdr:row>
      <xdr:rowOff>200025</xdr:rowOff>
    </xdr:to>
    <xdr:sp macro="" textlink="">
      <xdr:nvSpPr>
        <xdr:cNvPr id="162" name="Text Box 572"/>
        <xdr:cNvSpPr txBox="1">
          <a:spLocks noChangeArrowheads="1"/>
        </xdr:cNvSpPr>
      </xdr:nvSpPr>
      <xdr:spPr bwMode="auto">
        <a:xfrm>
          <a:off x="1390650" y="140684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19050</xdr:colOff>
      <xdr:row>55</xdr:row>
      <xdr:rowOff>66675</xdr:rowOff>
    </xdr:from>
    <xdr:to>
      <xdr:col>4</xdr:col>
      <xdr:colOff>0</xdr:colOff>
      <xdr:row>56</xdr:row>
      <xdr:rowOff>209550</xdr:rowOff>
    </xdr:to>
    <xdr:sp macro="" textlink="">
      <xdr:nvSpPr>
        <xdr:cNvPr id="163" name="Text Box 573"/>
        <xdr:cNvSpPr txBox="1">
          <a:spLocks noChangeArrowheads="1"/>
        </xdr:cNvSpPr>
      </xdr:nvSpPr>
      <xdr:spPr bwMode="auto">
        <a:xfrm>
          <a:off x="1409700" y="150876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38100</xdr:colOff>
      <xdr:row>55</xdr:row>
      <xdr:rowOff>76200</xdr:rowOff>
    </xdr:from>
    <xdr:to>
      <xdr:col>5</xdr:col>
      <xdr:colOff>285750</xdr:colOff>
      <xdr:row>56</xdr:row>
      <xdr:rowOff>219075</xdr:rowOff>
    </xdr:to>
    <xdr:sp macro="" textlink="">
      <xdr:nvSpPr>
        <xdr:cNvPr id="164" name="Text Box 574"/>
        <xdr:cNvSpPr txBox="1">
          <a:spLocks noChangeArrowheads="1"/>
        </xdr:cNvSpPr>
      </xdr:nvSpPr>
      <xdr:spPr bwMode="auto">
        <a:xfrm>
          <a:off x="2247900" y="15097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59</xdr:row>
      <xdr:rowOff>47625</xdr:rowOff>
    </xdr:from>
    <xdr:to>
      <xdr:col>3</xdr:col>
      <xdr:colOff>219075</xdr:colOff>
      <xdr:row>60</xdr:row>
      <xdr:rowOff>190500</xdr:rowOff>
    </xdr:to>
    <xdr:sp macro="" textlink="">
      <xdr:nvSpPr>
        <xdr:cNvPr id="165" name="Text Box 575"/>
        <xdr:cNvSpPr txBox="1">
          <a:spLocks noChangeArrowheads="1"/>
        </xdr:cNvSpPr>
      </xdr:nvSpPr>
      <xdr:spPr bwMode="auto">
        <a:xfrm>
          <a:off x="1362075" y="160877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59</xdr:row>
      <xdr:rowOff>76200</xdr:rowOff>
    </xdr:from>
    <xdr:to>
      <xdr:col>5</xdr:col>
      <xdr:colOff>295275</xdr:colOff>
      <xdr:row>60</xdr:row>
      <xdr:rowOff>219075</xdr:rowOff>
    </xdr:to>
    <xdr:sp macro="" textlink="">
      <xdr:nvSpPr>
        <xdr:cNvPr id="166" name="Text Box 576"/>
        <xdr:cNvSpPr txBox="1">
          <a:spLocks noChangeArrowheads="1"/>
        </xdr:cNvSpPr>
      </xdr:nvSpPr>
      <xdr:spPr bwMode="auto">
        <a:xfrm>
          <a:off x="2257425" y="161163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63</xdr:row>
      <xdr:rowOff>47625</xdr:rowOff>
    </xdr:from>
    <xdr:to>
      <xdr:col>3</xdr:col>
      <xdr:colOff>219075</xdr:colOff>
      <xdr:row>64</xdr:row>
      <xdr:rowOff>190500</xdr:rowOff>
    </xdr:to>
    <xdr:sp macro="" textlink="">
      <xdr:nvSpPr>
        <xdr:cNvPr id="167" name="Text Box 577"/>
        <xdr:cNvSpPr txBox="1">
          <a:spLocks noChangeArrowheads="1"/>
        </xdr:cNvSpPr>
      </xdr:nvSpPr>
      <xdr:spPr bwMode="auto">
        <a:xfrm>
          <a:off x="1362075" y="17097375"/>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63</xdr:row>
      <xdr:rowOff>76200</xdr:rowOff>
    </xdr:from>
    <xdr:to>
      <xdr:col>5</xdr:col>
      <xdr:colOff>295275</xdr:colOff>
      <xdr:row>64</xdr:row>
      <xdr:rowOff>219075</xdr:rowOff>
    </xdr:to>
    <xdr:sp macro="" textlink="">
      <xdr:nvSpPr>
        <xdr:cNvPr id="168" name="Text Box 578"/>
        <xdr:cNvSpPr txBox="1">
          <a:spLocks noChangeArrowheads="1"/>
        </xdr:cNvSpPr>
      </xdr:nvSpPr>
      <xdr:spPr bwMode="auto">
        <a:xfrm>
          <a:off x="2257425" y="17125950"/>
          <a:ext cx="247650" cy="4381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67</xdr:row>
      <xdr:rowOff>47625</xdr:rowOff>
    </xdr:from>
    <xdr:to>
      <xdr:col>3</xdr:col>
      <xdr:colOff>219075</xdr:colOff>
      <xdr:row>68</xdr:row>
      <xdr:rowOff>190500</xdr:rowOff>
    </xdr:to>
    <xdr:sp macro="" textlink="">
      <xdr:nvSpPr>
        <xdr:cNvPr id="169" name="Text Box 579"/>
        <xdr:cNvSpPr txBox="1">
          <a:spLocks noChangeArrowheads="1"/>
        </xdr:cNvSpPr>
      </xdr:nvSpPr>
      <xdr:spPr bwMode="auto">
        <a:xfrm>
          <a:off x="1362075" y="18145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5</xdr:col>
      <xdr:colOff>47625</xdr:colOff>
      <xdr:row>67</xdr:row>
      <xdr:rowOff>76200</xdr:rowOff>
    </xdr:from>
    <xdr:to>
      <xdr:col>5</xdr:col>
      <xdr:colOff>295275</xdr:colOff>
      <xdr:row>68</xdr:row>
      <xdr:rowOff>219075</xdr:rowOff>
    </xdr:to>
    <xdr:sp macro="" textlink="">
      <xdr:nvSpPr>
        <xdr:cNvPr id="170" name="Text Box 580"/>
        <xdr:cNvSpPr txBox="1">
          <a:spLocks noChangeArrowheads="1"/>
        </xdr:cNvSpPr>
      </xdr:nvSpPr>
      <xdr:spPr bwMode="auto">
        <a:xfrm>
          <a:off x="2257425" y="181737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editAs="oneCell">
    <xdr:from>
      <xdr:col>8</xdr:col>
      <xdr:colOff>171449</xdr:colOff>
      <xdr:row>17</xdr:row>
      <xdr:rowOff>133349</xdr:rowOff>
    </xdr:from>
    <xdr:to>
      <xdr:col>21</xdr:col>
      <xdr:colOff>276225</xdr:colOff>
      <xdr:row>28</xdr:row>
      <xdr:rowOff>200024</xdr:rowOff>
    </xdr:to>
    <xdr:pic>
      <xdr:nvPicPr>
        <xdr:cNvPr id="171" name="Picture 170"/>
        <xdr:cNvPicPr>
          <a:picLocks noChangeAspect="1"/>
        </xdr:cNvPicPr>
      </xdr:nvPicPr>
      <xdr:blipFill>
        <a:blip xmlns:r="http://schemas.openxmlformats.org/officeDocument/2006/relationships" r:embed="rId4" cstate="print"/>
        <a:stretch>
          <a:fillRect/>
        </a:stretch>
      </xdr:blipFill>
      <xdr:spPr>
        <a:xfrm>
          <a:off x="3819524" y="5124449"/>
          <a:ext cx="3619501" cy="2867025"/>
        </a:xfrm>
        <a:prstGeom prst="rect">
          <a:avLst/>
        </a:prstGeom>
      </xdr:spPr>
    </xdr:pic>
    <xdr:clientData/>
  </xdr:twoCellAnchor>
  <xdr:twoCellAnchor editAs="oneCell">
    <xdr:from>
      <xdr:col>8</xdr:col>
      <xdr:colOff>152400</xdr:colOff>
      <xdr:row>4</xdr:row>
      <xdr:rowOff>200025</xdr:rowOff>
    </xdr:from>
    <xdr:to>
      <xdr:col>21</xdr:col>
      <xdr:colOff>257175</xdr:colOff>
      <xdr:row>17</xdr:row>
      <xdr:rowOff>95250</xdr:rowOff>
    </xdr:to>
    <xdr:pic>
      <xdr:nvPicPr>
        <xdr:cNvPr id="172" name="Picture 29"/>
        <xdr:cNvPicPr>
          <a:picLocks noChangeAspect="1" noChangeArrowheads="1"/>
        </xdr:cNvPicPr>
      </xdr:nvPicPr>
      <xdr:blipFill>
        <a:blip xmlns:r="http://schemas.openxmlformats.org/officeDocument/2006/relationships" r:embed="rId5" cstate="print"/>
        <a:srcRect/>
        <a:stretch>
          <a:fillRect/>
        </a:stretch>
      </xdr:blipFill>
      <xdr:spPr bwMode="auto">
        <a:xfrm>
          <a:off x="3800475" y="1790700"/>
          <a:ext cx="3619500" cy="3295650"/>
        </a:xfrm>
        <a:prstGeom prst="rect">
          <a:avLst/>
        </a:prstGeom>
        <a:noFill/>
      </xdr:spPr>
    </xdr:pic>
    <xdr:clientData/>
  </xdr:twoCellAnchor>
  <xdr:twoCellAnchor>
    <xdr:from>
      <xdr:col>0</xdr:col>
      <xdr:colOff>142875</xdr:colOff>
      <xdr:row>115</xdr:row>
      <xdr:rowOff>142875</xdr:rowOff>
    </xdr:from>
    <xdr:to>
      <xdr:col>4</xdr:col>
      <xdr:colOff>76200</xdr:colOff>
      <xdr:row>115</xdr:row>
      <xdr:rowOff>495300</xdr:rowOff>
    </xdr:to>
    <xdr:sp macro="" textlink="">
      <xdr:nvSpPr>
        <xdr:cNvPr id="173" name="WordArt 50"/>
        <xdr:cNvSpPr>
          <a:spLocks noChangeArrowheads="1" noChangeShapeType="1" noTextEdit="1"/>
        </xdr:cNvSpPr>
      </xdr:nvSpPr>
      <xdr:spPr bwMode="auto">
        <a:xfrm>
          <a:off x="142875" y="30556200"/>
          <a:ext cx="1590675" cy="352425"/>
        </a:xfrm>
        <a:prstGeom prst="rect">
          <a:avLst/>
        </a:prstGeom>
      </xdr:spPr>
      <xdr:txBody>
        <a:bodyPr wrap="none" fromWordArt="1">
          <a:prstTxWarp prst="textPlain">
            <a:avLst>
              <a:gd name="adj" fmla="val 50000"/>
            </a:avLst>
          </a:prstTxWarp>
        </a:bodyPr>
        <a:lstStyle/>
        <a:p>
          <a:pPr algn="ctr" rtl="0"/>
          <a:r>
            <a:rPr lang="el-GR"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rPr>
            <a:t>Βαθμολογία</a:t>
          </a:r>
          <a:endParaRPr lang="en-GB" sz="3600" b="1"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Comic Sans MS"/>
          </a:endParaRPr>
        </a:p>
      </xdr:txBody>
    </xdr:sp>
    <xdr:clientData/>
  </xdr:twoCellAnchor>
  <xdr:twoCellAnchor>
    <xdr:from>
      <xdr:col>10</xdr:col>
      <xdr:colOff>152400</xdr:colOff>
      <xdr:row>116</xdr:row>
      <xdr:rowOff>38100</xdr:rowOff>
    </xdr:from>
    <xdr:to>
      <xdr:col>20</xdr:col>
      <xdr:colOff>142875</xdr:colOff>
      <xdr:row>118</xdr:row>
      <xdr:rowOff>85725</xdr:rowOff>
    </xdr:to>
    <xdr:sp macro="" textlink="">
      <xdr:nvSpPr>
        <xdr:cNvPr id="174" name="AutoShape 113">
          <a:hlinkClick xmlns:r="http://schemas.openxmlformats.org/officeDocument/2006/relationships" r:id="rId6"/>
        </xdr:cNvPr>
        <xdr:cNvSpPr>
          <a:spLocks noChangeArrowheads="1"/>
        </xdr:cNvSpPr>
      </xdr:nvSpPr>
      <xdr:spPr bwMode="auto">
        <a:xfrm>
          <a:off x="4286250" y="30994350"/>
          <a:ext cx="2333625" cy="504825"/>
        </a:xfrm>
        <a:prstGeom prst="ellipseRibbon2">
          <a:avLst>
            <a:gd name="adj1" fmla="val 25000"/>
            <a:gd name="adj2" fmla="val 50000"/>
            <a:gd name="adj3" fmla="val 12500"/>
          </a:avLst>
        </a:prstGeom>
        <a:solidFill>
          <a:srgbClr val="00CCFF"/>
        </a:solidFill>
        <a:ln w="9525">
          <a:solidFill>
            <a:srgbClr val="000000"/>
          </a:solidFill>
          <a:round/>
          <a:headEnd/>
          <a:tailEnd/>
        </a:ln>
        <a:effectLst/>
      </xdr:spPr>
      <xdr:txBody>
        <a:bodyPr vertOverflow="clip" wrap="square" lIns="36576" tIns="41148" rIns="36576" bIns="41148" anchor="ctr" upright="1"/>
        <a:lstStyle/>
        <a:p>
          <a:pPr algn="ctr" rtl="0">
            <a:defRPr sz="1000"/>
          </a:pPr>
          <a:r>
            <a:rPr lang="el-GR" sz="1200" b="1" i="0" strike="noStrike">
              <a:solidFill>
                <a:srgbClr val="000000"/>
              </a:solidFill>
              <a:latin typeface="Comic Sans MS"/>
            </a:rPr>
            <a:t>ΕΠΙΣΤΡΟΦΗ</a:t>
          </a:r>
        </a:p>
      </xdr:txBody>
    </xdr:sp>
    <xdr:clientData/>
  </xdr:twoCellAnchor>
  <xdr:twoCellAnchor>
    <xdr:from>
      <xdr:col>3</xdr:col>
      <xdr:colOff>0</xdr:colOff>
      <xdr:row>76</xdr:row>
      <xdr:rowOff>57150</xdr:rowOff>
    </xdr:from>
    <xdr:to>
      <xdr:col>3</xdr:col>
      <xdr:colOff>247650</xdr:colOff>
      <xdr:row>77</xdr:row>
      <xdr:rowOff>200025</xdr:rowOff>
    </xdr:to>
    <xdr:sp macro="" textlink="">
      <xdr:nvSpPr>
        <xdr:cNvPr id="175" name="Text Box 549"/>
        <xdr:cNvSpPr txBox="1">
          <a:spLocks noChangeArrowheads="1"/>
        </xdr:cNvSpPr>
      </xdr:nvSpPr>
      <xdr:spPr bwMode="auto">
        <a:xfrm>
          <a:off x="1390650" y="205930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19050</xdr:colOff>
      <xdr:row>80</xdr:row>
      <xdr:rowOff>66675</xdr:rowOff>
    </xdr:from>
    <xdr:to>
      <xdr:col>4</xdr:col>
      <xdr:colOff>0</xdr:colOff>
      <xdr:row>81</xdr:row>
      <xdr:rowOff>209550</xdr:rowOff>
    </xdr:to>
    <xdr:sp macro="" textlink="">
      <xdr:nvSpPr>
        <xdr:cNvPr id="176" name="Text Box 550"/>
        <xdr:cNvSpPr txBox="1">
          <a:spLocks noChangeArrowheads="1"/>
        </xdr:cNvSpPr>
      </xdr:nvSpPr>
      <xdr:spPr bwMode="auto">
        <a:xfrm>
          <a:off x="1409700" y="216122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84</xdr:row>
      <xdr:rowOff>47625</xdr:rowOff>
    </xdr:from>
    <xdr:to>
      <xdr:col>3</xdr:col>
      <xdr:colOff>219075</xdr:colOff>
      <xdr:row>85</xdr:row>
      <xdr:rowOff>190500</xdr:rowOff>
    </xdr:to>
    <xdr:sp macro="" textlink="">
      <xdr:nvSpPr>
        <xdr:cNvPr id="177" name="Text Box 552"/>
        <xdr:cNvSpPr txBox="1">
          <a:spLocks noChangeArrowheads="1"/>
        </xdr:cNvSpPr>
      </xdr:nvSpPr>
      <xdr:spPr bwMode="auto">
        <a:xfrm>
          <a:off x="1362075" y="2261235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88</xdr:row>
      <xdr:rowOff>47625</xdr:rowOff>
    </xdr:from>
    <xdr:to>
      <xdr:col>3</xdr:col>
      <xdr:colOff>219075</xdr:colOff>
      <xdr:row>89</xdr:row>
      <xdr:rowOff>190500</xdr:rowOff>
    </xdr:to>
    <xdr:sp macro="" textlink="">
      <xdr:nvSpPr>
        <xdr:cNvPr id="178" name="Text Box 554"/>
        <xdr:cNvSpPr txBox="1">
          <a:spLocks noChangeArrowheads="1"/>
        </xdr:cNvSpPr>
      </xdr:nvSpPr>
      <xdr:spPr bwMode="auto">
        <a:xfrm>
          <a:off x="1362075" y="23622000"/>
          <a:ext cx="247650" cy="4286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92</xdr:row>
      <xdr:rowOff>47625</xdr:rowOff>
    </xdr:from>
    <xdr:to>
      <xdr:col>3</xdr:col>
      <xdr:colOff>219075</xdr:colOff>
      <xdr:row>93</xdr:row>
      <xdr:rowOff>190500</xdr:rowOff>
    </xdr:to>
    <xdr:sp macro="" textlink="">
      <xdr:nvSpPr>
        <xdr:cNvPr id="179" name="Text Box 565"/>
        <xdr:cNvSpPr txBox="1">
          <a:spLocks noChangeArrowheads="1"/>
        </xdr:cNvSpPr>
      </xdr:nvSpPr>
      <xdr:spPr bwMode="auto">
        <a:xfrm>
          <a:off x="1362075" y="24650700"/>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0</xdr:colOff>
      <xdr:row>96</xdr:row>
      <xdr:rowOff>57150</xdr:rowOff>
    </xdr:from>
    <xdr:to>
      <xdr:col>3</xdr:col>
      <xdr:colOff>247650</xdr:colOff>
      <xdr:row>97</xdr:row>
      <xdr:rowOff>200025</xdr:rowOff>
    </xdr:to>
    <xdr:sp macro="" textlink="">
      <xdr:nvSpPr>
        <xdr:cNvPr id="180" name="Text Box 572"/>
        <xdr:cNvSpPr txBox="1">
          <a:spLocks noChangeArrowheads="1"/>
        </xdr:cNvSpPr>
      </xdr:nvSpPr>
      <xdr:spPr bwMode="auto">
        <a:xfrm>
          <a:off x="1390650" y="256508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3</xdr:col>
      <xdr:colOff>19050</xdr:colOff>
      <xdr:row>100</xdr:row>
      <xdr:rowOff>66675</xdr:rowOff>
    </xdr:from>
    <xdr:to>
      <xdr:col>4</xdr:col>
      <xdr:colOff>0</xdr:colOff>
      <xdr:row>101</xdr:row>
      <xdr:rowOff>209550</xdr:rowOff>
    </xdr:to>
    <xdr:sp macro="" textlink="">
      <xdr:nvSpPr>
        <xdr:cNvPr id="181" name="Text Box 573"/>
        <xdr:cNvSpPr txBox="1">
          <a:spLocks noChangeArrowheads="1"/>
        </xdr:cNvSpPr>
      </xdr:nvSpPr>
      <xdr:spPr bwMode="auto">
        <a:xfrm>
          <a:off x="1409700" y="26670000"/>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104</xdr:row>
      <xdr:rowOff>47625</xdr:rowOff>
    </xdr:from>
    <xdr:to>
      <xdr:col>3</xdr:col>
      <xdr:colOff>219075</xdr:colOff>
      <xdr:row>105</xdr:row>
      <xdr:rowOff>190500</xdr:rowOff>
    </xdr:to>
    <xdr:sp macro="" textlink="">
      <xdr:nvSpPr>
        <xdr:cNvPr id="182" name="Text Box 575"/>
        <xdr:cNvSpPr txBox="1">
          <a:spLocks noChangeArrowheads="1"/>
        </xdr:cNvSpPr>
      </xdr:nvSpPr>
      <xdr:spPr bwMode="auto">
        <a:xfrm>
          <a:off x="1362075" y="27670125"/>
          <a:ext cx="247650" cy="400050"/>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108</xdr:row>
      <xdr:rowOff>47625</xdr:rowOff>
    </xdr:from>
    <xdr:to>
      <xdr:col>3</xdr:col>
      <xdr:colOff>219075</xdr:colOff>
      <xdr:row>109</xdr:row>
      <xdr:rowOff>190500</xdr:rowOff>
    </xdr:to>
    <xdr:sp macro="" textlink="">
      <xdr:nvSpPr>
        <xdr:cNvPr id="183" name="Text Box 577"/>
        <xdr:cNvSpPr txBox="1">
          <a:spLocks noChangeArrowheads="1"/>
        </xdr:cNvSpPr>
      </xdr:nvSpPr>
      <xdr:spPr bwMode="auto">
        <a:xfrm>
          <a:off x="1362075" y="28679775"/>
          <a:ext cx="247650" cy="4286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xdr:from>
      <xdr:col>2</xdr:col>
      <xdr:colOff>323850</xdr:colOff>
      <xdr:row>112</xdr:row>
      <xdr:rowOff>47625</xdr:rowOff>
    </xdr:from>
    <xdr:to>
      <xdr:col>3</xdr:col>
      <xdr:colOff>219075</xdr:colOff>
      <xdr:row>113</xdr:row>
      <xdr:rowOff>190500</xdr:rowOff>
    </xdr:to>
    <xdr:sp macro="" textlink="">
      <xdr:nvSpPr>
        <xdr:cNvPr id="184" name="Text Box 579"/>
        <xdr:cNvSpPr txBox="1">
          <a:spLocks noChangeArrowheads="1"/>
        </xdr:cNvSpPr>
      </xdr:nvSpPr>
      <xdr:spPr bwMode="auto">
        <a:xfrm>
          <a:off x="1362075" y="29708475"/>
          <a:ext cx="247650" cy="390525"/>
        </a:xfrm>
        <a:prstGeom prst="rect">
          <a:avLst/>
        </a:prstGeom>
        <a:noFill/>
        <a:ln w="9525">
          <a:noFill/>
          <a:miter lim="800000"/>
          <a:headEnd/>
          <a:tailEnd/>
        </a:ln>
        <a:effectLst/>
      </xdr:spPr>
      <xdr:txBody>
        <a:bodyPr vertOverflow="clip" wrap="square" lIns="45720" tIns="59436" rIns="45720" bIns="59436" anchor="ctr" upright="1"/>
        <a:lstStyle/>
        <a:p>
          <a:pPr algn="ctr" rtl="0">
            <a:defRPr sz="1000"/>
          </a:pPr>
          <a:r>
            <a:rPr lang="en-GB" sz="1800" b="1" i="0" strike="noStrike">
              <a:solidFill>
                <a:srgbClr val="000000"/>
              </a:solidFill>
              <a:latin typeface="Comic Sans MS"/>
            </a:rPr>
            <a:t>=</a:t>
          </a:r>
        </a:p>
      </xdr:txBody>
    </xdr:sp>
    <xdr:clientData/>
  </xdr:twoCellAnchor>
  <xdr:twoCellAnchor editAs="oneCell">
    <xdr:from>
      <xdr:col>8</xdr:col>
      <xdr:colOff>95250</xdr:colOff>
      <xdr:row>80</xdr:row>
      <xdr:rowOff>209550</xdr:rowOff>
    </xdr:from>
    <xdr:to>
      <xdr:col>20</xdr:col>
      <xdr:colOff>647700</xdr:colOff>
      <xdr:row>92</xdr:row>
      <xdr:rowOff>19050</xdr:rowOff>
    </xdr:to>
    <xdr:pic>
      <xdr:nvPicPr>
        <xdr:cNvPr id="185" name="Picture 184"/>
        <xdr:cNvPicPr>
          <a:picLocks noChangeAspect="1"/>
        </xdr:cNvPicPr>
      </xdr:nvPicPr>
      <xdr:blipFill>
        <a:blip xmlns:r="http://schemas.openxmlformats.org/officeDocument/2006/relationships" r:embed="rId4" cstate="print"/>
        <a:stretch>
          <a:fillRect/>
        </a:stretch>
      </xdr:blipFill>
      <xdr:spPr>
        <a:xfrm>
          <a:off x="3743325" y="21783675"/>
          <a:ext cx="3381375" cy="2867025"/>
        </a:xfrm>
        <a:prstGeom prst="rect">
          <a:avLst/>
        </a:prstGeom>
      </xdr:spPr>
    </xdr:pic>
    <xdr:clientData/>
  </xdr:twoCellAnchor>
  <xdr:twoCellAnchor editAs="oneCell">
    <xdr:from>
      <xdr:col>8</xdr:col>
      <xdr:colOff>95250</xdr:colOff>
      <xdr:row>36</xdr:row>
      <xdr:rowOff>47625</xdr:rowOff>
    </xdr:from>
    <xdr:to>
      <xdr:col>21</xdr:col>
      <xdr:colOff>104775</xdr:colOff>
      <xdr:row>49</xdr:row>
      <xdr:rowOff>9525</xdr:rowOff>
    </xdr:to>
    <xdr:pic>
      <xdr:nvPicPr>
        <xdr:cNvPr id="186" name="Picture 29"/>
        <xdr:cNvPicPr>
          <a:picLocks noChangeAspect="1" noChangeArrowheads="1"/>
        </xdr:cNvPicPr>
      </xdr:nvPicPr>
      <xdr:blipFill>
        <a:blip xmlns:r="http://schemas.openxmlformats.org/officeDocument/2006/relationships" r:embed="rId5" cstate="print"/>
        <a:srcRect/>
        <a:stretch>
          <a:fillRect/>
        </a:stretch>
      </xdr:blipFill>
      <xdr:spPr bwMode="auto">
        <a:xfrm>
          <a:off x="3743325" y="10229850"/>
          <a:ext cx="3524250" cy="3295650"/>
        </a:xfrm>
        <a:prstGeom prst="rect">
          <a:avLst/>
        </a:prstGeom>
        <a:noFill/>
      </xdr:spPr>
    </xdr:pic>
    <xdr:clientData/>
  </xdr:twoCellAnchor>
  <xdr:twoCellAnchor>
    <xdr:from>
      <xdr:col>11</xdr:col>
      <xdr:colOff>238125</xdr:colOff>
      <xdr:row>32</xdr:row>
      <xdr:rowOff>180975</xdr:rowOff>
    </xdr:from>
    <xdr:to>
      <xdr:col>19</xdr:col>
      <xdr:colOff>238125</xdr:colOff>
      <xdr:row>35</xdr:row>
      <xdr:rowOff>190500</xdr:rowOff>
    </xdr:to>
    <xdr:sp macro="" textlink="">
      <xdr:nvSpPr>
        <xdr:cNvPr id="187" name="Rectangular Callout 186"/>
        <xdr:cNvSpPr/>
      </xdr:nvSpPr>
      <xdr:spPr bwMode="auto">
        <a:xfrm>
          <a:off x="4629150" y="9353550"/>
          <a:ext cx="1828800" cy="762000"/>
        </a:xfrm>
        <a:prstGeom prst="wedge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l-GR" sz="1800"/>
            <a:t>Εργαστείτε όπως στο παράδειγμα</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CC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CC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J59"/>
  <sheetViews>
    <sheetView tabSelected="1" workbookViewId="0"/>
  </sheetViews>
  <sheetFormatPr defaultRowHeight="15"/>
  <cols>
    <col min="1" max="1" width="1.5" customWidth="1"/>
    <col min="2" max="2" width="5" customWidth="1"/>
    <col min="3" max="3" width="73.625" customWidth="1"/>
    <col min="4" max="4" width="1.375" customWidth="1"/>
  </cols>
  <sheetData>
    <row r="1" spans="1:9" ht="23.25" customHeight="1">
      <c r="A1" s="8"/>
      <c r="B1" s="8"/>
      <c r="C1" s="8"/>
      <c r="D1" s="8"/>
      <c r="E1" s="200"/>
      <c r="F1" s="200"/>
    </row>
    <row r="2" spans="1:9" ht="69" customHeight="1">
      <c r="A2" s="8"/>
      <c r="B2" s="2"/>
      <c r="C2" s="2"/>
      <c r="D2" s="8"/>
      <c r="E2" s="200"/>
      <c r="F2" s="200"/>
    </row>
    <row r="3" spans="1:9" ht="34.5" customHeight="1">
      <c r="A3" s="8"/>
      <c r="B3" s="11" t="s">
        <v>43</v>
      </c>
      <c r="C3" s="289" t="s">
        <v>65</v>
      </c>
      <c r="D3" s="8"/>
      <c r="E3" s="200"/>
      <c r="F3" s="200"/>
    </row>
    <row r="4" spans="1:9" s="1" customFormat="1" ht="29.25">
      <c r="A4" s="9"/>
      <c r="B4" s="11" t="s">
        <v>44</v>
      </c>
      <c r="C4" s="290" t="s">
        <v>140</v>
      </c>
      <c r="D4" s="9"/>
      <c r="E4" s="200"/>
      <c r="F4" s="200"/>
      <c r="G4"/>
      <c r="H4"/>
    </row>
    <row r="5" spans="1:9" ht="29.25">
      <c r="B5" s="11" t="s">
        <v>45</v>
      </c>
      <c r="C5" s="290" t="s">
        <v>139</v>
      </c>
      <c r="D5" s="9"/>
      <c r="E5" s="200"/>
      <c r="F5" s="200"/>
    </row>
    <row r="6" spans="1:9" s="1" customFormat="1" ht="29.25">
      <c r="A6" s="9"/>
      <c r="B6" s="11" t="s">
        <v>46</v>
      </c>
      <c r="C6" s="289" t="s">
        <v>66</v>
      </c>
      <c r="D6" s="9"/>
      <c r="E6" s="200"/>
      <c r="F6" s="200"/>
      <c r="G6"/>
      <c r="H6"/>
    </row>
    <row r="7" spans="1:9" ht="29.25">
      <c r="B7" s="11" t="s">
        <v>47</v>
      </c>
      <c r="C7" s="290" t="s">
        <v>141</v>
      </c>
      <c r="D7" s="9"/>
      <c r="E7" s="200"/>
      <c r="F7" s="200"/>
    </row>
    <row r="8" spans="1:9" s="1" customFormat="1" ht="29.25">
      <c r="A8" s="9"/>
      <c r="B8" s="11" t="s">
        <v>48</v>
      </c>
      <c r="C8" s="289" t="s">
        <v>35</v>
      </c>
      <c r="D8" s="9"/>
      <c r="E8" s="200"/>
      <c r="F8" s="200"/>
      <c r="G8"/>
      <c r="H8"/>
    </row>
    <row r="9" spans="1:9" s="1" customFormat="1" ht="29.25">
      <c r="A9" s="9"/>
      <c r="B9" s="11" t="s">
        <v>49</v>
      </c>
      <c r="C9" s="289" t="s">
        <v>16</v>
      </c>
      <c r="D9" s="9"/>
      <c r="E9" s="200"/>
      <c r="F9" s="200"/>
      <c r="G9"/>
      <c r="H9"/>
    </row>
    <row r="10" spans="1:9" s="1" customFormat="1" ht="29.25">
      <c r="A10" s="9"/>
      <c r="B10" s="11" t="s">
        <v>50</v>
      </c>
      <c r="C10" s="289" t="s">
        <v>152</v>
      </c>
      <c r="D10" s="9"/>
      <c r="E10" s="200"/>
      <c r="F10" s="200"/>
      <c r="G10"/>
      <c r="H10"/>
    </row>
    <row r="11" spans="1:9" s="1" customFormat="1" ht="29.25">
      <c r="A11" s="9"/>
      <c r="B11" s="8"/>
      <c r="C11" s="8"/>
      <c r="D11" s="8"/>
      <c r="E11" s="200"/>
      <c r="F11" s="200"/>
      <c r="G11"/>
      <c r="H11"/>
    </row>
    <row r="12" spans="1:9" s="1" customFormat="1" ht="31.5">
      <c r="A12"/>
      <c r="B12"/>
      <c r="C12" s="10" t="s">
        <v>53</v>
      </c>
      <c r="E12"/>
      <c r="F12"/>
      <c r="G12"/>
      <c r="H12"/>
      <c r="I12"/>
    </row>
    <row r="13" spans="1:9" s="1" customFormat="1" ht="29.25"/>
    <row r="14" spans="1:9" s="1" customFormat="1" ht="29.25"/>
    <row r="15" spans="1:9" s="1" customFormat="1" ht="29.25"/>
    <row r="16" spans="1:9" s="1" customFormat="1" ht="29.25"/>
    <row r="17" s="1" customFormat="1" ht="29.25"/>
    <row r="18" s="1" customFormat="1" ht="29.25"/>
    <row r="19" s="1" customFormat="1" ht="29.25"/>
    <row r="20" s="1" customFormat="1" ht="29.25"/>
    <row r="21" s="1" customFormat="1" ht="29.25"/>
    <row r="22" s="1" customFormat="1" ht="29.25"/>
    <row r="23" s="1" customFormat="1" ht="29.25"/>
    <row r="24" s="1" customFormat="1" ht="29.25"/>
    <row r="25" s="1" customFormat="1" ht="29.25"/>
    <row r="26" s="1" customFormat="1" ht="29.25"/>
    <row r="27" s="1" customFormat="1" ht="29.25"/>
    <row r="28" s="1" customFormat="1" ht="29.25"/>
    <row r="29" s="1" customFormat="1" ht="29.25"/>
    <row r="30" s="1" customFormat="1" ht="29.25"/>
    <row r="31" s="1" customFormat="1" ht="29.25"/>
    <row r="32" s="1" customFormat="1" ht="29.25"/>
    <row r="33" s="1" customFormat="1" ht="29.25"/>
    <row r="34" s="1" customFormat="1" ht="29.25"/>
    <row r="35" s="1" customFormat="1" ht="29.25"/>
    <row r="36" s="1" customFormat="1" ht="29.25"/>
    <row r="37" s="1" customFormat="1" ht="29.25"/>
    <row r="38" s="1" customFormat="1" ht="29.25"/>
    <row r="39" s="1" customFormat="1" ht="29.25"/>
    <row r="40" s="1" customFormat="1" ht="29.25"/>
    <row r="41" s="1" customFormat="1" ht="29.25"/>
    <row r="42" s="1" customFormat="1" ht="29.25"/>
    <row r="43" s="1" customFormat="1" ht="29.25"/>
    <row r="44" s="1" customFormat="1" ht="29.25"/>
    <row r="45" s="1" customFormat="1" ht="29.25"/>
    <row r="46" s="1" customFormat="1" ht="29.25"/>
    <row r="47" s="1" customFormat="1" ht="29.25"/>
    <row r="48" s="1" customFormat="1" ht="29.25"/>
    <row r="49" spans="1:10" s="1" customFormat="1" ht="29.25"/>
    <row r="50" spans="1:10" s="1" customFormat="1" ht="29.25"/>
    <row r="51" spans="1:10" s="1" customFormat="1" ht="29.25"/>
    <row r="52" spans="1:10" s="1" customFormat="1" ht="29.25"/>
    <row r="53" spans="1:10" s="1" customFormat="1" ht="29.25"/>
    <row r="54" spans="1:10" s="1" customFormat="1" ht="29.25"/>
    <row r="55" spans="1:10" s="1" customFormat="1" ht="29.25"/>
    <row r="56" spans="1:10" s="1" customFormat="1" ht="29.25"/>
    <row r="57" spans="1:10" ht="29.25">
      <c r="A57" s="1"/>
      <c r="B57" s="1"/>
      <c r="C57" s="1"/>
      <c r="D57" s="1"/>
      <c r="E57" s="1"/>
      <c r="F57" s="1"/>
      <c r="G57" s="1"/>
      <c r="H57" s="1"/>
      <c r="I57" s="1"/>
      <c r="J57" s="1"/>
    </row>
    <row r="58" spans="1:10" ht="29.25">
      <c r="A58" s="1"/>
      <c r="B58" s="1"/>
      <c r="C58" s="1"/>
      <c r="D58" s="1"/>
      <c r="E58" s="1"/>
      <c r="F58" s="1"/>
      <c r="G58" s="1"/>
      <c r="H58" s="1"/>
      <c r="I58" s="1"/>
      <c r="J58" s="1"/>
    </row>
    <row r="59" spans="1:10" ht="29.25">
      <c r="A59" s="1"/>
      <c r="B59" s="1"/>
      <c r="C59" s="1"/>
      <c r="D59" s="1"/>
      <c r="E59" s="1"/>
      <c r="F59" s="1"/>
      <c r="G59" s="1"/>
      <c r="H59" s="1"/>
      <c r="I59" s="1"/>
      <c r="J59" s="1"/>
    </row>
  </sheetData>
  <sheetProtection password="C613" sheet="1" objects="1" scenarios="1"/>
  <phoneticPr fontId="0" type="noConversion"/>
  <hyperlinks>
    <hyperlink ref="C3" location="'Μετατροπή κλασμ. σε δεκαδικούς'!A1" display="Μετατροπή κλάσματος σε δεκαδικό."/>
    <hyperlink ref="C6" location="'Μετατροπή κλάσμ σε ποσοστό'!A1" display="Μετατροπή κλάσματος σε ποσοστό."/>
    <hyperlink ref="C8" location="'Το καρναβάλι των αριθμών'!A1" display="Το καρναβάλι των αριθμών."/>
    <hyperlink ref="C9" location="'ΣΥΓΚΡΙΣΗ Κλάσμ. Δεκαδικ.Ποσοστά'!A1" display="ΣΥΓΚΡΙΣΗ: Κλάσματα - ποσοστά - Δεκαδικοί "/>
    <hyperlink ref="C5" location="'Μετατρ κλ σε δεκαδ σε επιφάν.2'!A1" display="Μετατροπή κλάσματος σε δεκαδικό σε επιφάνεια (2)."/>
    <hyperlink ref="C7" location="'Κλ δεκαδ ποσοστά σε αριθμ γραμμ'!A1" display="Κλάσματα - Δεκαδικοί - Ποσοστά στην αριθμητική γραμμή"/>
    <hyperlink ref="C4" location="'Μετατρ κλάσμ σε δεκαδ.σε επιφ1'!A1" display="Μετατροπή κλάσματος σε δεκαδικό σε επιφάνεια (1)."/>
    <hyperlink ref="C10" location="'Μετατροπή ποσοστού σε δεκαδικό'!A1" display="Μετατροπή ποσοστού σε δεκαδικό"/>
  </hyperlink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U298"/>
  <sheetViews>
    <sheetView workbookViewId="0">
      <selection sqref="A1:XFD1048576"/>
    </sheetView>
  </sheetViews>
  <sheetFormatPr defaultRowHeight="19.5"/>
  <cols>
    <col min="1" max="1" width="5.375" style="29" customWidth="1"/>
    <col min="2" max="2" width="5.25" style="29" customWidth="1"/>
    <col min="3" max="3" width="4.625" style="29" customWidth="1"/>
    <col min="4" max="4" width="7.125" style="29" customWidth="1"/>
    <col min="5" max="5" width="4.375" style="29" customWidth="1"/>
    <col min="6" max="6" width="8.75" style="29" customWidth="1"/>
    <col min="7" max="7" width="3.375" style="29" customWidth="1"/>
    <col min="8" max="8" width="6.375" style="29" customWidth="1"/>
    <col min="9" max="13" width="3.375" style="29" customWidth="1"/>
    <col min="14" max="14" width="4" style="29" customWidth="1"/>
    <col min="15" max="47" width="3.375" style="29" customWidth="1"/>
    <col min="48" max="16384" width="9" style="29"/>
  </cols>
  <sheetData>
    <row r="1" spans="1:47" ht="57.7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row>
    <row r="2" spans="1:47" ht="22.5">
      <c r="A2" s="23" t="s">
        <v>77</v>
      </c>
    </row>
    <row r="3" spans="1:47" ht="22.5">
      <c r="A3" s="23" t="s">
        <v>78</v>
      </c>
    </row>
    <row r="4" spans="1:47" ht="22.5">
      <c r="A4" s="23" t="s">
        <v>79</v>
      </c>
    </row>
    <row r="5" spans="1:47" ht="22.5">
      <c r="A5" s="23" t="s">
        <v>155</v>
      </c>
    </row>
    <row r="6" spans="1:47" ht="22.5">
      <c r="A6" s="23" t="s">
        <v>80</v>
      </c>
    </row>
    <row r="7" spans="1:47" ht="32.25" thickBot="1">
      <c r="A7" s="34" t="s">
        <v>70</v>
      </c>
      <c r="J7" s="112">
        <v>1</v>
      </c>
      <c r="K7" s="3"/>
      <c r="L7" s="238" t="s">
        <v>8</v>
      </c>
      <c r="M7" s="280">
        <f>J7/J8</f>
        <v>0.25</v>
      </c>
      <c r="N7" s="280"/>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47" ht="33" thickTop="1" thickBot="1">
      <c r="B8" s="30">
        <v>1</v>
      </c>
      <c r="D8" s="70">
        <v>5</v>
      </c>
      <c r="E8" s="12"/>
      <c r="F8" s="230">
        <v>0.5</v>
      </c>
      <c r="G8" s="17" t="str">
        <f>IF(F8="","",IF(F8=B8/B9,"J"))</f>
        <v>J</v>
      </c>
      <c r="H8" s="12"/>
      <c r="J8" s="113">
        <v>4</v>
      </c>
      <c r="K8" s="137">
        <f>J7/J8</f>
        <v>0.25</v>
      </c>
      <c r="L8" s="238"/>
      <c r="M8" s="280"/>
      <c r="N8" s="280"/>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row>
    <row r="9" spans="1:47" ht="21" thickTop="1" thickBot="1">
      <c r="B9" s="31">
        <v>2</v>
      </c>
      <c r="D9" s="71">
        <v>10</v>
      </c>
      <c r="E9" s="12"/>
      <c r="F9" s="230"/>
      <c r="G9" s="12"/>
      <c r="H9" s="12"/>
      <c r="J9" s="3"/>
      <c r="K9" s="3"/>
      <c r="L9" s="3"/>
      <c r="M9" s="3"/>
      <c r="N9" s="3"/>
      <c r="O9" s="138" t="str">
        <f>IF(K8=0.01,"J",IF(K8&gt;0.01,"J",""))</f>
        <v>J</v>
      </c>
      <c r="P9" s="139" t="str">
        <f>IF(K8=0.02,"J",IF(K8&gt;0.02,"J",""))</f>
        <v>J</v>
      </c>
      <c r="Q9" s="139" t="str">
        <f>IF(K8=0.03,"J",IF(K8&gt;0.03,"J",""))</f>
        <v>J</v>
      </c>
      <c r="R9" s="139" t="str">
        <f>IF(K8=0.04,"J",IF(K8&gt;0.04,"J",""))</f>
        <v>J</v>
      </c>
      <c r="S9" s="139" t="str">
        <f>IF(K8=0.05,"J",IF(K8&gt;0.05,"J",""))</f>
        <v>J</v>
      </c>
      <c r="T9" s="139" t="str">
        <f>IF(K8=0.06,"J",IF(K8&gt;0.06,"J",""))</f>
        <v>J</v>
      </c>
      <c r="U9" s="139" t="str">
        <f>IF(K8=0.07,"J",IF(K8&gt;0.07,"J",""))</f>
        <v>J</v>
      </c>
      <c r="V9" s="139" t="str">
        <f>IF(K8=0.08,"J",IF(K8&gt;0.08,"J",""))</f>
        <v>J</v>
      </c>
      <c r="W9" s="139" t="str">
        <f>IF(K8=0.09,"J",IF(K8&gt;0.09,"J",""))</f>
        <v>J</v>
      </c>
      <c r="X9" s="140" t="str">
        <f>IF(K8=0.1,"J",IF(K8&gt;0.1,"J",""))</f>
        <v>J</v>
      </c>
      <c r="Y9" s="3"/>
      <c r="Z9" s="138" t="str">
        <f>IF(K8=1.01,"J",IF(K8&gt;1.01,"J",""))</f>
        <v/>
      </c>
      <c r="AA9" s="139" t="str">
        <f>IF(K8=1.02,"J",IF(K8&gt;1.02,"J",""))</f>
        <v/>
      </c>
      <c r="AB9" s="139" t="str">
        <f>IF(K8=1.03,"J",IF(K8&gt;1.03,"J",""))</f>
        <v/>
      </c>
      <c r="AC9" s="139" t="str">
        <f>IF(K8=1.04,"J",IF(K8&gt;1.04,"J",""))</f>
        <v/>
      </c>
      <c r="AD9" s="139" t="str">
        <f>IF(K8=1.05,"J",IF(K8&gt;1.05,"J",""))</f>
        <v/>
      </c>
      <c r="AE9" s="139" t="str">
        <f>IF(K8=1.06,"J",IF(K8&gt;1.06,"J",""))</f>
        <v/>
      </c>
      <c r="AF9" s="139" t="str">
        <f>IF(K8=1.07,"J",IF(K8&gt;1.07,"J",""))</f>
        <v/>
      </c>
      <c r="AG9" s="139" t="str">
        <f>IF(K8=1.08,"J",IF(K8&gt;1.08,"J",""))</f>
        <v/>
      </c>
      <c r="AH9" s="139" t="str">
        <f>IF(K8=1.09,"J",IF(K8&gt;1.09,"J",""))</f>
        <v/>
      </c>
      <c r="AI9" s="140" t="str">
        <f>IF(K8=1.1,"J",IF(K8&gt;1.1,"J",""))</f>
        <v/>
      </c>
      <c r="AJ9" s="3"/>
      <c r="AK9" s="138" t="str">
        <f>IF(K8=2.01,"J",IF(K8&gt;2.01,"J",""))</f>
        <v/>
      </c>
      <c r="AL9" s="139" t="str">
        <f>IF(K8=2.02,"J",IF(K8&gt;2.02,"J",""))</f>
        <v/>
      </c>
      <c r="AM9" s="139" t="str">
        <f>IF(K8=2.03,"J",IF(K8&gt;2.03,"J",""))</f>
        <v/>
      </c>
      <c r="AN9" s="139" t="str">
        <f>IF(K8=2.04,"J",IF(K8&gt;2.04,"J",""))</f>
        <v/>
      </c>
      <c r="AO9" s="139" t="str">
        <f>IF(K8=2.05,"J",IF(K8&gt;2.05,"J",""))</f>
        <v/>
      </c>
      <c r="AP9" s="139" t="str">
        <f>IF(K8=2.06,"J",IF(K8&gt;2.06,"J",""))</f>
        <v/>
      </c>
      <c r="AQ9" s="139" t="str">
        <f>IF(K8=2.07,"J",IF(K8&gt;2.07,"J",""))</f>
        <v/>
      </c>
      <c r="AR9" s="139" t="str">
        <f>IF(K8=2.08,"J",IF(K8&gt;2.08,"J",""))</f>
        <v/>
      </c>
      <c r="AS9" s="139" t="str">
        <f>IF(K8=2.09,"J",IF(K8&gt;2.09,"J",""))</f>
        <v/>
      </c>
      <c r="AT9" s="140" t="str">
        <f>IF(K8=2.1,"J",IF(K8&gt;2.1,"J",""))</f>
        <v/>
      </c>
      <c r="AU9" s="3"/>
    </row>
    <row r="10" spans="1:47" ht="20.25" thickBot="1">
      <c r="D10" s="19" t="str">
        <f>IF(D9="","",IF(D8="","",IF(D8/D9=B8/B9,"J","L")))</f>
        <v>J</v>
      </c>
      <c r="E10" s="12"/>
      <c r="F10" s="12"/>
      <c r="G10" s="12"/>
      <c r="H10" s="12"/>
      <c r="J10" s="3"/>
      <c r="K10" s="141" t="s">
        <v>11</v>
      </c>
      <c r="L10" s="3"/>
      <c r="M10" s="3"/>
      <c r="N10" s="3"/>
      <c r="O10" s="142" t="str">
        <f>IF(K8=0.11,"J",IF(K8&gt;0.11,"J",""))</f>
        <v>J</v>
      </c>
      <c r="P10" s="143" t="str">
        <f>IF(K8=0.12,"J",IF(K8&gt;0.12,"J",""))</f>
        <v>J</v>
      </c>
      <c r="Q10" s="143" t="str">
        <f>IF(K8=0.13,"J",IF(K8&gt;0.13,"J",""))</f>
        <v>J</v>
      </c>
      <c r="R10" s="143" t="str">
        <f>IF(K8=0.14,"J",IF(K8&gt;0.14,"J",""))</f>
        <v>J</v>
      </c>
      <c r="S10" s="143" t="str">
        <f>IF(K8=0.15,"J",IF(K8&gt;0.15,"J",""))</f>
        <v>J</v>
      </c>
      <c r="T10" s="143" t="str">
        <f>IF(K8=0.16,"J",IF(K8&gt;0.16,"J",""))</f>
        <v>J</v>
      </c>
      <c r="U10" s="143" t="str">
        <f>IF(K8=0.17,"J",IF(K8&gt;0.17,"J",""))</f>
        <v>J</v>
      </c>
      <c r="V10" s="143" t="str">
        <f>IF(K8=0.18,"J",IF(K8&gt;0.18,"J",""))</f>
        <v>J</v>
      </c>
      <c r="W10" s="143" t="str">
        <f>IF(K8=0.19,"J",IF(K8&gt;0.19,"J",""))</f>
        <v>J</v>
      </c>
      <c r="X10" s="144" t="str">
        <f>IF(K8=0.2,"J",IF(K8&gt;0.2,"J",""))</f>
        <v>J</v>
      </c>
      <c r="Y10" s="3"/>
      <c r="Z10" s="142" t="str">
        <f>IF(K8=1.11,"J",IF(K8&gt;1.11,"J",""))</f>
        <v/>
      </c>
      <c r="AA10" s="143" t="str">
        <f>IF(K8=1.12,"J",IF(K8&gt;1.12,"J",""))</f>
        <v/>
      </c>
      <c r="AB10" s="143" t="str">
        <f>IF(K8=1.13,"J",IF(K8&gt;1.13,"J",""))</f>
        <v/>
      </c>
      <c r="AC10" s="143" t="str">
        <f>IF(K8=1.14,"J",IF(K8&gt;1.14,"J",""))</f>
        <v/>
      </c>
      <c r="AD10" s="143" t="str">
        <f>IF(K8=1.15,"J",IF(K8&gt;1.15,"J",""))</f>
        <v/>
      </c>
      <c r="AE10" s="143" t="str">
        <f>IF(K8=1.16,"J",IF(K8&gt;1.16,"J",""))</f>
        <v/>
      </c>
      <c r="AF10" s="143" t="str">
        <f>IF(K8=1.17,"J",IF(K8&gt;1.17,"J",""))</f>
        <v/>
      </c>
      <c r="AG10" s="143" t="str">
        <f>IF(K8=1.18,"J",IF(K8&gt;1.18,"J",""))</f>
        <v/>
      </c>
      <c r="AH10" s="143" t="str">
        <f>IF(K8=1.19,"J",IF(K8&gt;1.19,"J",""))</f>
        <v/>
      </c>
      <c r="AI10" s="144" t="str">
        <f>IF(K8=1.2,"J",IF(K8&gt;1.2,"J",""))</f>
        <v/>
      </c>
      <c r="AJ10" s="3"/>
      <c r="AK10" s="142" t="str">
        <f>IF(K8=2.11,"J",IF(K8&gt;2.11,"J",""))</f>
        <v/>
      </c>
      <c r="AL10" s="143" t="str">
        <f>IF(K8=2.12,"J",IF(K8&gt;2.12,"J",""))</f>
        <v/>
      </c>
      <c r="AM10" s="143" t="str">
        <f>IF(K8=2.13,"J",IF(K8&gt;2.13,"J",""))</f>
        <v/>
      </c>
      <c r="AN10" s="143" t="str">
        <f>IF(K8=2.14,"J",IF(K8&gt;2.14,"J",""))</f>
        <v/>
      </c>
      <c r="AO10" s="143" t="str">
        <f>IF(K8=2.15,"J",IF(K8&gt;2.15,"J",""))</f>
        <v/>
      </c>
      <c r="AP10" s="143" t="str">
        <f>IF(K8=2.16,"J",IF(K8&gt;2.16,"J",""))</f>
        <v/>
      </c>
      <c r="AQ10" s="143" t="str">
        <f>IF(K8=2.17,"J",IF(K8&gt;2.17,"J",""))</f>
        <v/>
      </c>
      <c r="AR10" s="143" t="str">
        <f>IF(K8=2.18,"J",IF(K8&gt;2.18,"J",""))</f>
        <v/>
      </c>
      <c r="AS10" s="143" t="str">
        <f>IF(K8=2.19,"J",IF(K8&gt;2.19,"J",""))</f>
        <v/>
      </c>
      <c r="AT10" s="144" t="str">
        <f>IF(K8=2.2,"J",IF(K8&gt;2.2,"J",""))</f>
        <v/>
      </c>
      <c r="AU10" s="3"/>
    </row>
    <row r="11" spans="1:47" ht="20.25" thickBot="1">
      <c r="D11" s="12"/>
      <c r="E11" s="12"/>
      <c r="F11" s="12"/>
      <c r="G11" s="12"/>
      <c r="H11" s="12"/>
      <c r="J11" s="3"/>
      <c r="K11" s="141"/>
      <c r="L11" s="3"/>
      <c r="M11" s="3"/>
      <c r="N11" s="3"/>
      <c r="O11" s="142" t="str">
        <f>IF(K8=0.21,"J",IF(K8&gt;0.21,"J",""))</f>
        <v>J</v>
      </c>
      <c r="P11" s="143" t="str">
        <f>IF(K8=0.22,"J",IF(K8&gt;0.22,"J",""))</f>
        <v>J</v>
      </c>
      <c r="Q11" s="143" t="str">
        <f>IF(K8=0.23,"J",IF(K8&gt;0.23,"J",""))</f>
        <v>J</v>
      </c>
      <c r="R11" s="143" t="str">
        <f>IF(K8=0.24,"J",IF(K8&gt;0.24,"J",""))</f>
        <v>J</v>
      </c>
      <c r="S11" s="143" t="str">
        <f>IF(K8=0.25,"J",IF(K8&gt;0.25,"J",""))</f>
        <v>J</v>
      </c>
      <c r="T11" s="143" t="str">
        <f>IF(K8=0.26,"J",IF(K8&gt;0.26,"J",""))</f>
        <v/>
      </c>
      <c r="U11" s="143" t="str">
        <f>IF(K8=0.27,"J",IF(K8&gt;0.27,"J",""))</f>
        <v/>
      </c>
      <c r="V11" s="143" t="str">
        <f>IF(K8=0.28,"J",IF(K8&gt;0.28,"J",""))</f>
        <v/>
      </c>
      <c r="W11" s="143" t="str">
        <f>IF(K8=0.29,"J",IF(K8&gt;0.29,"J",""))</f>
        <v/>
      </c>
      <c r="X11" s="144" t="str">
        <f>IF(K8=0.3,"J",IF(K8&gt;0.3,"J",""))</f>
        <v/>
      </c>
      <c r="Y11" s="3"/>
      <c r="Z11" s="142" t="str">
        <f>IF(K8=1.21,"J",IF(K8&gt;1.21,"J",""))</f>
        <v/>
      </c>
      <c r="AA11" s="143" t="str">
        <f>IF(K8=1.22,"J",IF(K8&gt;1.22,"J",""))</f>
        <v/>
      </c>
      <c r="AB11" s="143" t="str">
        <f>IF(K8=1.23,"J",IF(K8&gt;1.23,"J",""))</f>
        <v/>
      </c>
      <c r="AC11" s="143" t="str">
        <f>IF(K8=1.24,"J",IF(K8&gt;1.24,"J",""))</f>
        <v/>
      </c>
      <c r="AD11" s="143" t="str">
        <f>IF(K8=1.25,"J",IF(K8&gt;1.25,"J",""))</f>
        <v/>
      </c>
      <c r="AE11" s="143" t="str">
        <f>IF(K8=1.26,"J",IF(K8&gt;1.26,"J",""))</f>
        <v/>
      </c>
      <c r="AF11" s="143" t="str">
        <f>IF(K8=1.27,"J",IF(K8&gt;1.27,"J",""))</f>
        <v/>
      </c>
      <c r="AG11" s="143" t="str">
        <f>IF(K8=1.28,"J",IF(K8&gt;1.28,"J",""))</f>
        <v/>
      </c>
      <c r="AH11" s="143" t="str">
        <f>IF(K8=1.29,"J",IF(K8&gt;1.29,"J",""))</f>
        <v/>
      </c>
      <c r="AI11" s="144" t="str">
        <f>IF(K8=1.3,"J",IF(K8&gt;1.3,"J",""))</f>
        <v/>
      </c>
      <c r="AJ11" s="3"/>
      <c r="AK11" s="142" t="str">
        <f>IF(K8=2.21,"J",IF(K8&gt;2.21,"J",""))</f>
        <v/>
      </c>
      <c r="AL11" s="143" t="str">
        <f>IF(K8=2.22,"J",IF(K8&gt;2.22,"J",""))</f>
        <v/>
      </c>
      <c r="AM11" s="143" t="str">
        <f>IF(K8=2.23,"J",IF(K8&gt;2.23,"J",""))</f>
        <v/>
      </c>
      <c r="AN11" s="143" t="str">
        <f>IF(K8=2.24,"J",IF(K8&gt;2.24,"J",""))</f>
        <v/>
      </c>
      <c r="AO11" s="143" t="str">
        <f>IF(K8=2.25,"J",IF(K8&gt;2.25,"J",""))</f>
        <v/>
      </c>
      <c r="AP11" s="143" t="str">
        <f>IF(K8=2.26,"J",IF(K8&gt;2.26,"J",""))</f>
        <v/>
      </c>
      <c r="AQ11" s="143" t="str">
        <f>IF(K8=2.27,"J",IF(K8&gt;2.27,"J",""))</f>
        <v/>
      </c>
      <c r="AR11" s="143" t="str">
        <f>IF(K8=2.28,"J",IF(K8&gt;2.28,"J",""))</f>
        <v/>
      </c>
      <c r="AS11" s="143" t="str">
        <f>IF(K8=2.29,"J",IF(K8&gt;2.29,"J",""))</f>
        <v/>
      </c>
      <c r="AT11" s="144" t="str">
        <f>IF(K8=2.3,"J",IF(K8&gt;2.3,"J",""))</f>
        <v/>
      </c>
      <c r="AU11" s="3"/>
    </row>
    <row r="12" spans="1:47" ht="20.25" thickBot="1">
      <c r="B12" s="30">
        <v>1</v>
      </c>
      <c r="D12" s="70">
        <v>25</v>
      </c>
      <c r="E12" s="12"/>
      <c r="F12" s="231">
        <v>0.25</v>
      </c>
      <c r="G12" s="17" t="str">
        <f>IF(F12="","",IF(F12=B12/B13,"J"))</f>
        <v>J</v>
      </c>
      <c r="H12" s="12"/>
      <c r="J12" s="3"/>
      <c r="K12" s="3"/>
      <c r="L12" s="3"/>
      <c r="M12" s="3"/>
      <c r="N12" s="3"/>
      <c r="O12" s="142" t="str">
        <f>IF(K8=0.31,"J",IF(K8&gt;0.31,"J",""))</f>
        <v/>
      </c>
      <c r="P12" s="143" t="str">
        <f>IF(K8=0.32,"J",IF(K8&gt;0.32,"J",""))</f>
        <v/>
      </c>
      <c r="Q12" s="143" t="str">
        <f>IF(K8=0.33,"J",IF(K8&gt;0.33,"J",""))</f>
        <v/>
      </c>
      <c r="R12" s="143" t="str">
        <f>IF(K8=0.34,"J",IF(K8&gt;0.34,"J",""))</f>
        <v/>
      </c>
      <c r="S12" s="143" t="str">
        <f>IF(K8=0.35,"J",IF(K8&gt;0.35,"J",""))</f>
        <v/>
      </c>
      <c r="T12" s="143" t="str">
        <f>IF(K8=0.36,"J",IF(K8&gt;0.36,"J",""))</f>
        <v/>
      </c>
      <c r="U12" s="143" t="str">
        <f>IF(K8=0.37,"J",IF(K8&gt;0.37,"J",""))</f>
        <v/>
      </c>
      <c r="V12" s="143" t="str">
        <f>IF(K8=0.38,"J",IF(K8&gt;0.38,"J",""))</f>
        <v/>
      </c>
      <c r="W12" s="143" t="str">
        <f>IF(K8=0.39,"J",IF(K8&gt;0.39,"J",""))</f>
        <v/>
      </c>
      <c r="X12" s="144" t="str">
        <f>IF(K8=0.4,"J",IF(K8&gt;0.4,"J",""))</f>
        <v/>
      </c>
      <c r="Y12" s="3"/>
      <c r="Z12" s="142" t="str">
        <f>IF(K8=1.31,"J",IF(K8&gt;1.31,"J",""))</f>
        <v/>
      </c>
      <c r="AA12" s="143" t="str">
        <f>IF(K8=1.32,"J",IF(K8&gt;1.32,"J",""))</f>
        <v/>
      </c>
      <c r="AB12" s="143" t="str">
        <f>IF(K8=1.33,"J",IF(K8&gt;1.33,"J",""))</f>
        <v/>
      </c>
      <c r="AC12" s="143" t="str">
        <f>IF(K8=1.34,"J",IF(K8&gt;1.34,"J",""))</f>
        <v/>
      </c>
      <c r="AD12" s="143" t="str">
        <f>IF(K8=1.35,"J",IF(K8&gt;1.35,"J",""))</f>
        <v/>
      </c>
      <c r="AE12" s="143" t="str">
        <f>IF(K8=1.36,"J",IF(K8&gt;1.36,"J",""))</f>
        <v/>
      </c>
      <c r="AF12" s="143" t="str">
        <f>IF(K8=1.37,"J",IF(K8&gt;1.37,"J",""))</f>
        <v/>
      </c>
      <c r="AG12" s="143" t="str">
        <f>IF(K8=1.38,"J",IF(K8&gt;1.38,"J",""))</f>
        <v/>
      </c>
      <c r="AH12" s="143" t="str">
        <f>IF(K8=1.39,"J",IF(K8&gt;1.39,"J",""))</f>
        <v/>
      </c>
      <c r="AI12" s="144" t="str">
        <f>IF(K8=1.4,"J",IF(K8&gt;1.4,"J",""))</f>
        <v/>
      </c>
      <c r="AJ12" s="3"/>
      <c r="AK12" s="142" t="str">
        <f>IF(K8=2.31,"J",IF(K8&gt;2.31,"J",""))</f>
        <v/>
      </c>
      <c r="AL12" s="143" t="str">
        <f>IF(K8=2.32,"J",IF(K8&gt;2.32,"J",""))</f>
        <v/>
      </c>
      <c r="AM12" s="143" t="str">
        <f>IF(K8=2.33,"J",IF(K8&gt;2.33,"J",""))</f>
        <v/>
      </c>
      <c r="AN12" s="143" t="str">
        <f>IF(K8=2.34,"J",IF(K8&gt;2.34,"J",""))</f>
        <v/>
      </c>
      <c r="AO12" s="143" t="str">
        <f>IF(K8=2.35,"J",IF(K8&gt;2.35,"J",""))</f>
        <v/>
      </c>
      <c r="AP12" s="143" t="str">
        <f>IF(K8=2.36,"J",IF(K8&gt;2.36,"J",""))</f>
        <v/>
      </c>
      <c r="AQ12" s="143" t="str">
        <f>IF(K8=2.37,"J",IF(K8&gt;2.37,"J",""))</f>
        <v/>
      </c>
      <c r="AR12" s="143" t="str">
        <f>IF(K8=2.38,"J",IF(K8&gt;2.38,"J",""))</f>
        <v/>
      </c>
      <c r="AS12" s="143" t="str">
        <f>IF(K8=2.39,"J",IF(K8&gt;2.39,"J",""))</f>
        <v/>
      </c>
      <c r="AT12" s="144" t="str">
        <f>IF(K8=2.4,"J",IF(K8&gt;2.4,"J",""))</f>
        <v/>
      </c>
      <c r="AU12" s="3"/>
    </row>
    <row r="13" spans="1:47" ht="21" thickTop="1" thickBot="1">
      <c r="B13" s="31">
        <v>4</v>
      </c>
      <c r="D13" s="71">
        <v>100</v>
      </c>
      <c r="E13" s="12"/>
      <c r="F13" s="231"/>
      <c r="G13" s="12"/>
      <c r="H13" s="12"/>
      <c r="J13" s="3"/>
      <c r="K13" s="3"/>
      <c r="L13" s="3"/>
      <c r="M13" s="3"/>
      <c r="N13" s="3"/>
      <c r="O13" s="142" t="str">
        <f>IF(K8=0.41,"J",IF(K8&gt;0.41,"J",""))</f>
        <v/>
      </c>
      <c r="P13" s="143" t="str">
        <f>IF(K8=0.42,"J",IF(K8&gt;0.42,"J",""))</f>
        <v/>
      </c>
      <c r="Q13" s="143" t="str">
        <f>IF(K8=0.43,"J",IF(K8&gt;0.43,"J",""))</f>
        <v/>
      </c>
      <c r="R13" s="143" t="str">
        <f>IF(K8=0.44,"J",IF(K8&gt;0.44,"J",""))</f>
        <v/>
      </c>
      <c r="S13" s="143" t="str">
        <f>IF(K8=0.45,"J",IF(K8&gt;0.45,"J",""))</f>
        <v/>
      </c>
      <c r="T13" s="143" t="str">
        <f>IF(K8=0.46,"J",IF(K8&gt;0.46,"J",""))</f>
        <v/>
      </c>
      <c r="U13" s="143" t="str">
        <f>IF(K8=0.47,"J",IF(K8&gt;0.47,"J",""))</f>
        <v/>
      </c>
      <c r="V13" s="143" t="str">
        <f>IF(K8=0.48,"J",IF(K8&gt;0.48,"J",""))</f>
        <v/>
      </c>
      <c r="W13" s="143" t="str">
        <f>IF(K8=0.49,"J",IF(K8&gt;0.49,"J",""))</f>
        <v/>
      </c>
      <c r="X13" s="144" t="str">
        <f>IF(K8=0.5,"J",IF(K8&gt;0.5,"J",""))</f>
        <v/>
      </c>
      <c r="Y13" s="3"/>
      <c r="Z13" s="142" t="str">
        <f>IF(K8=1.41,"J",IF(K8&gt;1.41,"J",""))</f>
        <v/>
      </c>
      <c r="AA13" s="143" t="str">
        <f>IF(K8=1.42,"J",IF(K8&gt;1.42,"J",""))</f>
        <v/>
      </c>
      <c r="AB13" s="143" t="str">
        <f>IF(K8=1.43,"J",IF(K8&gt;1.43,"J",""))</f>
        <v/>
      </c>
      <c r="AC13" s="143" t="str">
        <f>IF(K8=1.44,"J",IF(K8&gt;1.44,"J",""))</f>
        <v/>
      </c>
      <c r="AD13" s="143" t="str">
        <f>IF(K8=1.45,"J",IF(K8&gt;1.45,"J",""))</f>
        <v/>
      </c>
      <c r="AE13" s="143" t="str">
        <f>IF(K8=1.46,"J",IF(K8&gt;1.46,"J",""))</f>
        <v/>
      </c>
      <c r="AF13" s="143" t="str">
        <f>IF(K8=1.47,"J",IF(K8&gt;1.47,"J",""))</f>
        <v/>
      </c>
      <c r="AG13" s="143" t="str">
        <f>IF(K8=1.48,"J",IF(K8&gt;1.48,"J",""))</f>
        <v/>
      </c>
      <c r="AH13" s="143" t="str">
        <f>IF(K8=1.49,"J",IF(K8&gt;1.49,"J",""))</f>
        <v/>
      </c>
      <c r="AI13" s="144" t="str">
        <f>IF(K8=1.5,"J",IF(K8&gt;1.5,"J",""))</f>
        <v/>
      </c>
      <c r="AJ13" s="3"/>
      <c r="AK13" s="142" t="str">
        <f>IF(K8=2.41,"J",IF(K8&gt;2.41,"J",""))</f>
        <v/>
      </c>
      <c r="AL13" s="143" t="str">
        <f>IF(K8=2.42,"J",IF(K8&gt;2.42,"J",""))</f>
        <v/>
      </c>
      <c r="AM13" s="143" t="str">
        <f>IF(K8=2.43,"J",IF(K8&gt;2.43,"J",""))</f>
        <v/>
      </c>
      <c r="AN13" s="143" t="str">
        <f>IF(K8=2.44,"J",IF(K8&gt;2.44,"J",""))</f>
        <v/>
      </c>
      <c r="AO13" s="143" t="str">
        <f>IF(K8=2.45,"J",IF(K8&gt;2.45,"J",""))</f>
        <v/>
      </c>
      <c r="AP13" s="143" t="str">
        <f>IF(K8=2.46,"J",IF(K8&gt;2.46,"J",""))</f>
        <v/>
      </c>
      <c r="AQ13" s="143" t="str">
        <f>IF(K8=2.47,"J",IF(K8&gt;2.47,"J",""))</f>
        <v/>
      </c>
      <c r="AR13" s="143" t="str">
        <f>IF(K8=2.48,"J",IF(K8&gt;2.48,"J",""))</f>
        <v/>
      </c>
      <c r="AS13" s="143" t="str">
        <f>IF(K8=2.49,"J",IF(K8&gt;2.49,"J",""))</f>
        <v/>
      </c>
      <c r="AT13" s="144" t="str">
        <f>IF(K8=2.5,"J",IF(K8&gt;2.5,"J",""))</f>
        <v/>
      </c>
      <c r="AU13" s="3"/>
    </row>
    <row r="14" spans="1:47" ht="20.25" thickBot="1">
      <c r="D14" s="19" t="str">
        <f>IF(D13="","",IF(D12="","",IF(D12/D13=B12/B13,"J","L")))</f>
        <v>J</v>
      </c>
      <c r="E14" s="12"/>
      <c r="F14" s="12"/>
      <c r="G14" s="12"/>
      <c r="H14" s="12"/>
      <c r="J14" s="3"/>
      <c r="K14" s="3"/>
      <c r="L14" s="3"/>
      <c r="M14" s="3"/>
      <c r="N14" s="3"/>
      <c r="O14" s="142" t="str">
        <f>IF(K8=0.51,"J",IF(K8&gt;0.51,"J",""))</f>
        <v/>
      </c>
      <c r="P14" s="143" t="str">
        <f>IF(K8=0.52,"J",IF(K8&gt;0.52,"J",""))</f>
        <v/>
      </c>
      <c r="Q14" s="143" t="str">
        <f>IF(K8=0.53,"J",IF(K8&gt;0.53,"J",""))</f>
        <v/>
      </c>
      <c r="R14" s="143" t="str">
        <f>IF(K8=0.54,"J",IF(K8&gt;0.54,"J",""))</f>
        <v/>
      </c>
      <c r="S14" s="143" t="str">
        <f>IF(K8=0.55,"J",IF(K8&gt;0.55,"J",""))</f>
        <v/>
      </c>
      <c r="T14" s="143" t="str">
        <f>IF(K8=0.56,"J",IF(K8&gt;0.56,"J",""))</f>
        <v/>
      </c>
      <c r="U14" s="143" t="str">
        <f>IF(K8=0.57,"J",IF(K8&gt;0.57,"J",""))</f>
        <v/>
      </c>
      <c r="V14" s="143" t="str">
        <f>IF(K8=0.58,"J",IF(K8&gt;0.58,"J",""))</f>
        <v/>
      </c>
      <c r="W14" s="143" t="str">
        <f>IF(K8=0.59,"J",IF(K8&gt;0.59,"J",""))</f>
        <v/>
      </c>
      <c r="X14" s="144" t="str">
        <f>IF(K8=0.6,"J",IF(K8&gt;0.6,"J",""))</f>
        <v/>
      </c>
      <c r="Y14" s="3"/>
      <c r="Z14" s="142" t="str">
        <f>IF(K8=1.51,"J",IF(K8&gt;1.51,"J",""))</f>
        <v/>
      </c>
      <c r="AA14" s="143" t="str">
        <f>IF(K8=1.52,"J",IF(K8&gt;1.52,"J",""))</f>
        <v/>
      </c>
      <c r="AB14" s="143" t="str">
        <f>IF(K8=1.53,"J",IF(K8&gt;1.53,"J",""))</f>
        <v/>
      </c>
      <c r="AC14" s="143" t="str">
        <f>IF(K8=1.54,"J",IF(K8&gt;1.54,"J",""))</f>
        <v/>
      </c>
      <c r="AD14" s="143" t="str">
        <f>IF(K8=1.55,"J",IF(K8&gt;1.55,"J",""))</f>
        <v/>
      </c>
      <c r="AE14" s="143" t="str">
        <f>IF(K8=1.56,"J",IF(K8&gt;1.56,"J",""))</f>
        <v/>
      </c>
      <c r="AF14" s="143" t="str">
        <f>IF(K8=1.57,"J",IF(K8&gt;1.57,"J",""))</f>
        <v/>
      </c>
      <c r="AG14" s="143" t="str">
        <f>IF(K8=1.58,"J",IF(K8&gt;1.58,"J",""))</f>
        <v/>
      </c>
      <c r="AH14" s="143" t="str">
        <f>IF(K8=1.59,"J",IF(K8&gt;1.59,"J",""))</f>
        <v/>
      </c>
      <c r="AI14" s="144" t="str">
        <f>IF(K8=1.6,"J",IF(K8&gt;1.6,"J",""))</f>
        <v/>
      </c>
      <c r="AJ14" s="3"/>
      <c r="AK14" s="142" t="str">
        <f>IF(K8=2.51,"J",IF(K8&gt;2.51,"J",""))</f>
        <v/>
      </c>
      <c r="AL14" s="143" t="str">
        <f>IF(K8=2.52,"J",IF(K8&gt;2.52,"J",""))</f>
        <v/>
      </c>
      <c r="AM14" s="143" t="str">
        <f>IF(K8=2.53,"J",IF(K8&gt;2.53,"J",""))</f>
        <v/>
      </c>
      <c r="AN14" s="143" t="str">
        <f>IF(K8=2.54,"J",IF(K8&gt;2.54,"J",""))</f>
        <v/>
      </c>
      <c r="AO14" s="143" t="str">
        <f>IF(K8=2.55,"J",IF(K8&gt;2.55,"J",""))</f>
        <v/>
      </c>
      <c r="AP14" s="143" t="str">
        <f>IF(K8=2.56,"J",IF(K8&gt;2.56,"J",""))</f>
        <v/>
      </c>
      <c r="AQ14" s="143" t="str">
        <f>IF(K8=2.57,"J",IF(K8&gt;2.57,"J",""))</f>
        <v/>
      </c>
      <c r="AR14" s="143" t="str">
        <f>IF(K8=2.58,"J",IF(K8&gt;2.58,"J",""))</f>
        <v/>
      </c>
      <c r="AS14" s="143" t="str">
        <f>IF(K8=2.59,"J",IF(K8&gt;2.59,"J",""))</f>
        <v/>
      </c>
      <c r="AT14" s="144" t="str">
        <f>IF(K8=2.6,"J",IF(K8&gt;2.6,"J",""))</f>
        <v/>
      </c>
      <c r="AU14" s="3"/>
    </row>
    <row r="15" spans="1:47" ht="20.25" thickBot="1">
      <c r="D15" s="12"/>
      <c r="E15" s="12"/>
      <c r="F15" s="12"/>
      <c r="G15" s="12"/>
      <c r="H15" s="12"/>
      <c r="J15" s="3"/>
      <c r="K15" s="3"/>
      <c r="L15" s="3"/>
      <c r="M15" s="3"/>
      <c r="N15" s="3"/>
      <c r="O15" s="142" t="str">
        <f>IF(K8=0.61,"J",IF(K8&gt;0.61,"J",""))</f>
        <v/>
      </c>
      <c r="P15" s="143" t="str">
        <f>IF(K8=0.62,"J",IF(K8&gt;0.62,"J",""))</f>
        <v/>
      </c>
      <c r="Q15" s="143" t="str">
        <f>IF(K8=0.63,"J",IF(K8&gt;0.63,"J",""))</f>
        <v/>
      </c>
      <c r="R15" s="143" t="str">
        <f>IF(K8=0.64,"J",IF(K8&gt;0.64,"J",""))</f>
        <v/>
      </c>
      <c r="S15" s="143" t="str">
        <f>IF(K8=0.65,"J",IF(K8&gt;0.65,"J",""))</f>
        <v/>
      </c>
      <c r="T15" s="143" t="str">
        <f>IF(K8=0.66,"J",IF(K8&gt;0.66,"J",""))</f>
        <v/>
      </c>
      <c r="U15" s="143" t="str">
        <f>IF(K8=0.67,"J",IF(K8&gt;0.67,"J",""))</f>
        <v/>
      </c>
      <c r="V15" s="143" t="str">
        <f>IF(K8=0.68,"J",IF(K8&gt;0.68,"J",""))</f>
        <v/>
      </c>
      <c r="W15" s="143" t="str">
        <f>IF(K8=0.69,"J",IF(K8&gt;0.69,"J",""))</f>
        <v/>
      </c>
      <c r="X15" s="144" t="str">
        <f>IF(K8=0.7,"J",IF(K8&gt;0.7,"J",""))</f>
        <v/>
      </c>
      <c r="Y15" s="3"/>
      <c r="Z15" s="142" t="str">
        <f>IF(K8=1.61,"J",IF(K8&gt;1.61,"J",""))</f>
        <v/>
      </c>
      <c r="AA15" s="143" t="str">
        <f>IF(K8=1.62,"J",IF(K8&gt;1.62,"J",""))</f>
        <v/>
      </c>
      <c r="AB15" s="143" t="str">
        <f>IF(K8=1.63,"J",IF(K8&gt;1.63,"J",""))</f>
        <v/>
      </c>
      <c r="AC15" s="143" t="str">
        <f>IF(K8=1.64,"J",IF(K8&gt;1.64,"J",""))</f>
        <v/>
      </c>
      <c r="AD15" s="143" t="str">
        <f>IF(K8=1.65,"J",IF(K8&gt;1.65,"J",""))</f>
        <v/>
      </c>
      <c r="AE15" s="143" t="str">
        <f>IF(K8=1.66,"J",IF(K8&gt;1.66,"J",""))</f>
        <v/>
      </c>
      <c r="AF15" s="143" t="str">
        <f>IF(K8=1.67,"J",IF(K8&gt;1.67,"J",""))</f>
        <v/>
      </c>
      <c r="AG15" s="143" t="str">
        <f>IF(K8=1.68,"J",IF(K8&gt;1.68,"J",""))</f>
        <v/>
      </c>
      <c r="AH15" s="143" t="str">
        <f>IF(K8=1.69,"J",IF(K8&gt;1.69,"J",""))</f>
        <v/>
      </c>
      <c r="AI15" s="144" t="str">
        <f>IF(K8=1.7,"J",IF(K8&gt;1.7,"J",""))</f>
        <v/>
      </c>
      <c r="AJ15" s="3"/>
      <c r="AK15" s="142" t="str">
        <f>IF(K8=2.61,"J",IF(K8&gt;2.61,"J",""))</f>
        <v/>
      </c>
      <c r="AL15" s="143" t="str">
        <f>IF(K8=2.62,"J",IF(K8&gt;2.62,"J",""))</f>
        <v/>
      </c>
      <c r="AM15" s="143" t="str">
        <f>IF(K8=2.63,"J",IF(K8&gt;2.63,"J",""))</f>
        <v/>
      </c>
      <c r="AN15" s="143" t="str">
        <f>IF(K8=2.64,"J",IF(K8&gt;2.64,"J",""))</f>
        <v/>
      </c>
      <c r="AO15" s="143" t="str">
        <f>IF(K8=2.65,"J",IF(K8&gt;2.65,"J",""))</f>
        <v/>
      </c>
      <c r="AP15" s="143" t="str">
        <f>IF(K8=2.66,"J",IF(K8&gt;2.66,"J",""))</f>
        <v/>
      </c>
      <c r="AQ15" s="143" t="str">
        <f>IF(K8=2.67,"J",IF(K8&gt;2.67,"J",""))</f>
        <v/>
      </c>
      <c r="AR15" s="143" t="str">
        <f>IF(K8=2.68,"J",IF(K8&gt;2.68,"J",""))</f>
        <v/>
      </c>
      <c r="AS15" s="143" t="str">
        <f>IF(K8=2.69,"J",IF(K8&gt;2.69,"J",""))</f>
        <v/>
      </c>
      <c r="AT15" s="144" t="str">
        <f>IF(K8=2.7,"J",IF(K8&gt;2.7,"J",""))</f>
        <v/>
      </c>
      <c r="AU15" s="3"/>
    </row>
    <row r="16" spans="1:47" ht="20.25" thickBot="1">
      <c r="B16" s="30">
        <v>1</v>
      </c>
      <c r="D16" s="70">
        <v>125</v>
      </c>
      <c r="E16" s="12"/>
      <c r="F16" s="232">
        <v>0.125</v>
      </c>
      <c r="G16" s="17" t="str">
        <f>IF(F16="","",IF(F16=B16/B17,"J"))</f>
        <v>J</v>
      </c>
      <c r="H16" s="12"/>
      <c r="J16" s="3"/>
      <c r="K16" s="3"/>
      <c r="L16" s="3"/>
      <c r="M16" s="3"/>
      <c r="N16" s="3"/>
      <c r="O16" s="142" t="str">
        <f>IF(K8=0.71,"J",IF(K8&gt;0.71,"J",""))</f>
        <v/>
      </c>
      <c r="P16" s="143" t="str">
        <f>IF(K8=0.72,"J",IF(K8&gt;0.72,"J",""))</f>
        <v/>
      </c>
      <c r="Q16" s="143" t="str">
        <f>IF(K8=0.73,"J",IF(K8&gt;0.73,"J",""))</f>
        <v/>
      </c>
      <c r="R16" s="143" t="str">
        <f>IF(K8=0.74,"J",IF(K8&gt;0.74,"J",""))</f>
        <v/>
      </c>
      <c r="S16" s="143" t="str">
        <f>IF(K8=0.75,"J",IF(K8&gt;0.75,"J",""))</f>
        <v/>
      </c>
      <c r="T16" s="143" t="str">
        <f>IF(K8=0.76,"J",IF(K8&gt;0.76,"J",""))</f>
        <v/>
      </c>
      <c r="U16" s="143" t="str">
        <f>IF(K8=0.77,"J",IF(K8&gt;0.77,"J",""))</f>
        <v/>
      </c>
      <c r="V16" s="143" t="str">
        <f>IF(K8=0.78,"J",IF(K8&gt;0.78,"J",""))</f>
        <v/>
      </c>
      <c r="W16" s="143" t="str">
        <f>IF(K8=0.79,"J",IF(K8&gt;0.79,"J",""))</f>
        <v/>
      </c>
      <c r="X16" s="144" t="str">
        <f>IF(K8=0.8,"J",IF(K8&gt;0.8,"J",""))</f>
        <v/>
      </c>
      <c r="Y16" s="3"/>
      <c r="Z16" s="142" t="str">
        <f>IF(K8=1.71,"J",IF(K8&gt;1.71,"J",""))</f>
        <v/>
      </c>
      <c r="AA16" s="143" t="str">
        <f>IF(K8=1.72,"J",IF(K8&gt;1.72,"J",""))</f>
        <v/>
      </c>
      <c r="AB16" s="143" t="str">
        <f>IF(K8=1.73,"J",IF(K8&gt;1.73,"J",""))</f>
        <v/>
      </c>
      <c r="AC16" s="143" t="str">
        <f>IF(K8=1.74,"J",IF(K8&gt;1.74,"J",""))</f>
        <v/>
      </c>
      <c r="AD16" s="143" t="str">
        <f>IF(K8=1.75,"J",IF(K8&gt;1.75,"J",""))</f>
        <v/>
      </c>
      <c r="AE16" s="143" t="str">
        <f>IF(K8=1.76,"J",IF(K8&gt;1.76,"J",""))</f>
        <v/>
      </c>
      <c r="AF16" s="143" t="str">
        <f>IF(K8=1.77,"J",IF(K8&gt;1.77,"J",""))</f>
        <v/>
      </c>
      <c r="AG16" s="143" t="str">
        <f>IF(K8=1.78,"J",IF(K8&gt;1.78,"J",""))</f>
        <v/>
      </c>
      <c r="AH16" s="143" t="str">
        <f>IF(K8=1.79,"J",IF(K8&gt;1.79,"J",""))</f>
        <v/>
      </c>
      <c r="AI16" s="144" t="str">
        <f>IF(K8=1.8,"J",IF(K8&gt;1.8,"J",""))</f>
        <v/>
      </c>
      <c r="AJ16" s="3"/>
      <c r="AK16" s="142" t="str">
        <f>IF(K8=2.71,"J",IF(K8&gt;2.71,"J",""))</f>
        <v/>
      </c>
      <c r="AL16" s="143" t="str">
        <f>IF(K8=2.72,"J",IF(K8&gt;2.72,"J",""))</f>
        <v/>
      </c>
      <c r="AM16" s="143" t="str">
        <f>IF(K8=2.73,"J",IF(K8&gt;2.73,"J",""))</f>
        <v/>
      </c>
      <c r="AN16" s="143" t="str">
        <f>IF(K8=2.74,"J",IF(K8&gt;2.74,"J",""))</f>
        <v/>
      </c>
      <c r="AO16" s="143" t="str">
        <f>IF(K8=2.75,"J",IF(K8&gt;2.75,"J",""))</f>
        <v/>
      </c>
      <c r="AP16" s="143" t="str">
        <f>IF(K8=2.76,"J",IF(K8&gt;2.76,"J",""))</f>
        <v/>
      </c>
      <c r="AQ16" s="143" t="str">
        <f>IF(K8=2.77,"J",IF(K8&gt;2.77,"J",""))</f>
        <v/>
      </c>
      <c r="AR16" s="143" t="str">
        <f>IF(K8=2.78,"J",IF(K8&gt;2.78,"J",""))</f>
        <v/>
      </c>
      <c r="AS16" s="143" t="str">
        <f>IF(K8=2.79,"J",IF(K8&gt;2.79,"J",""))</f>
        <v/>
      </c>
      <c r="AT16" s="144" t="str">
        <f>IF(K8=2.8,"J",IF(K8&gt;2.8,"J",""))</f>
        <v/>
      </c>
      <c r="AU16" s="3"/>
    </row>
    <row r="17" spans="1:47" ht="21" thickTop="1" thickBot="1">
      <c r="B17" s="31">
        <v>8</v>
      </c>
      <c r="D17" s="71">
        <v>1000</v>
      </c>
      <c r="E17" s="12"/>
      <c r="F17" s="232"/>
      <c r="G17" s="12"/>
      <c r="H17" s="12"/>
      <c r="J17" s="3"/>
      <c r="K17" s="3"/>
      <c r="L17" s="3"/>
      <c r="M17" s="3"/>
      <c r="N17" s="3"/>
      <c r="O17" s="142" t="str">
        <f>IF(K8=0.81,"J",IF(K8&gt;0.81,"J",""))</f>
        <v/>
      </c>
      <c r="P17" s="143" t="str">
        <f>IF(K8=0.82,"J",IF(K8&gt;0.82,"J",""))</f>
        <v/>
      </c>
      <c r="Q17" s="143" t="str">
        <f>IF(K8=0.83,"J",IF(K8&gt;0.83,"J",""))</f>
        <v/>
      </c>
      <c r="R17" s="143" t="str">
        <f>IF(K8=0.84,"J",IF(K8&gt;0.84,"J",""))</f>
        <v/>
      </c>
      <c r="S17" s="143" t="str">
        <f>IF(K8=0.85,"J",IF(K8&gt;0.85,"J",""))</f>
        <v/>
      </c>
      <c r="T17" s="143" t="str">
        <f>IF(K8=0.86,"J",IF(K8&gt;0.86,"J",""))</f>
        <v/>
      </c>
      <c r="U17" s="143" t="str">
        <f>IF(K8=0.87,"J",IF(K8&gt;0.87,"J",""))</f>
        <v/>
      </c>
      <c r="V17" s="143" t="str">
        <f>IF(K8=0.88,"J",IF(K8&gt;0.88,"J",""))</f>
        <v/>
      </c>
      <c r="W17" s="143" t="str">
        <f>IF(K8=0.89,"J",IF(K8&gt;0.89,"J",""))</f>
        <v/>
      </c>
      <c r="X17" s="144" t="str">
        <f>IF(K8=0.9,"J",IF(K8&gt;0.9,"J",""))</f>
        <v/>
      </c>
      <c r="Y17" s="3"/>
      <c r="Z17" s="142" t="str">
        <f>IF(K8=1.81,"J",IF(K8&gt;1.81,"J",""))</f>
        <v/>
      </c>
      <c r="AA17" s="143" t="str">
        <f>IF(K8=1.82,"J",IF(K8&gt;1.82,"J",""))</f>
        <v/>
      </c>
      <c r="AB17" s="143" t="str">
        <f>IF(K8=1.83,"J",IF(K8&gt;1.83,"J",""))</f>
        <v/>
      </c>
      <c r="AC17" s="143" t="str">
        <f>IF(K8=1.84,"J",IF(K8&gt;1.84,"J",""))</f>
        <v/>
      </c>
      <c r="AD17" s="143" t="str">
        <f>IF(K8=1.85,"J",IF(K8&gt;1.85,"J",""))</f>
        <v/>
      </c>
      <c r="AE17" s="143" t="str">
        <f>IF(K8=1.86,"J",IF(K8&gt;1.86,"J",""))</f>
        <v/>
      </c>
      <c r="AF17" s="143" t="str">
        <f>IF(K8=1.87,"J",IF(K8&gt;1.87,"J",""))</f>
        <v/>
      </c>
      <c r="AG17" s="143" t="str">
        <f>IF(K8=1.88,"J",IF(K8&gt;1.88,"J",""))</f>
        <v/>
      </c>
      <c r="AH17" s="143" t="str">
        <f>IF(K8=1.89,"J",IF(K8&gt;1.89,"J",""))</f>
        <v/>
      </c>
      <c r="AI17" s="144" t="str">
        <f>IF(K8=1.9,"J",IF(K8&gt;1.9,"J",""))</f>
        <v/>
      </c>
      <c r="AJ17" s="3"/>
      <c r="AK17" s="142" t="str">
        <f>IF(K8=2.81,"J",IF(K8&gt;2.81,"J",""))</f>
        <v/>
      </c>
      <c r="AL17" s="143" t="str">
        <f>IF(K8=2.82,"J",IF(K8&gt;2.82,"J",""))</f>
        <v/>
      </c>
      <c r="AM17" s="143" t="str">
        <f>IF(K8=2.83,"J",IF(K8&gt;2.83,"J",""))</f>
        <v/>
      </c>
      <c r="AN17" s="143" t="str">
        <f>IF(K8=2.84,"J",IF(K8&gt;2.84,"J",""))</f>
        <v/>
      </c>
      <c r="AO17" s="143" t="str">
        <f>IF(K8=2.85,"J",IF(K8&gt;2.85,"J",""))</f>
        <v/>
      </c>
      <c r="AP17" s="143" t="str">
        <f>IF(K8=2.86,"J",IF(K8&gt;2.86,"J",""))</f>
        <v/>
      </c>
      <c r="AQ17" s="143" t="str">
        <f>IF(K8=2.87,"J",IF(K8&gt;2.87,"J",""))</f>
        <v/>
      </c>
      <c r="AR17" s="143" t="str">
        <f>IF(K8=2.88,"J",IF(K8&gt;2.88,"J",""))</f>
        <v/>
      </c>
      <c r="AS17" s="143" t="str">
        <f>IF(K8=2.89,"J",IF(K8&gt;2.89,"J",""))</f>
        <v/>
      </c>
      <c r="AT17" s="144" t="str">
        <f>IF(K8=2.9,"J",IF(K8&gt;2.9,"J",""))</f>
        <v/>
      </c>
      <c r="AU17" s="3"/>
    </row>
    <row r="18" spans="1:47" ht="20.25" thickBot="1">
      <c r="D18" s="19" t="str">
        <f>IF(D17="","",IF(D16="","",IF(D16/D17=B16/B17,"J","L")))</f>
        <v>J</v>
      </c>
      <c r="E18" s="12"/>
      <c r="F18" s="12"/>
      <c r="G18" s="12"/>
      <c r="H18" s="12"/>
      <c r="J18" s="3"/>
      <c r="K18" s="3"/>
      <c r="L18" s="3"/>
      <c r="M18" s="3"/>
      <c r="N18" s="3"/>
      <c r="O18" s="145" t="str">
        <f>IF(K8=0.91,"J",IF(K8&gt;0.91,"J",""))</f>
        <v/>
      </c>
      <c r="P18" s="146" t="str">
        <f>IF(K8=0.92,"J",IF(K8&gt;0.92,"J",""))</f>
        <v/>
      </c>
      <c r="Q18" s="146" t="str">
        <f>IF(K8=0.93,"J",IF(K8&gt;0.93,"J",""))</f>
        <v/>
      </c>
      <c r="R18" s="146" t="str">
        <f>IF(K8=0.94,"J",IF(K8&gt;0.94,"J",""))</f>
        <v/>
      </c>
      <c r="S18" s="146" t="str">
        <f>IF(K8=0.95,"J",IF(K8&gt;0.95,"J",""))</f>
        <v/>
      </c>
      <c r="T18" s="146" t="str">
        <f>IF(K8=0.96,"J",IF(K8&gt;0.96,"J",""))</f>
        <v/>
      </c>
      <c r="U18" s="146" t="str">
        <f>IF(K8=0.97,"J",IF(K8&gt;0.97,"J",""))</f>
        <v/>
      </c>
      <c r="V18" s="146" t="str">
        <f>IF(K8=0.98,"J",IF(K8&gt;0.98,"J",""))</f>
        <v/>
      </c>
      <c r="W18" s="146" t="str">
        <f>IF(K8=0.99,"J",IF(K8&gt;0.99,"J",""))</f>
        <v/>
      </c>
      <c r="X18" s="147" t="str">
        <f>IF(K8=1,"J",IF(K8&gt;1,"J",""))</f>
        <v/>
      </c>
      <c r="Y18" s="3"/>
      <c r="Z18" s="145" t="str">
        <f>IF(K8=1.91,"J",IF(K8&gt;1.91,"J",""))</f>
        <v/>
      </c>
      <c r="AA18" s="146" t="str">
        <f>IF(K8=1.92,"J",IF(K8&gt;1.92,"J",""))</f>
        <v/>
      </c>
      <c r="AB18" s="146" t="str">
        <f>IF(K8=1.93,"J",IF(K8&gt;1.93,"J",""))</f>
        <v/>
      </c>
      <c r="AC18" s="146" t="str">
        <f>IF(K8=1.94,"J",IF(K8&gt;1.94,"J",""))</f>
        <v/>
      </c>
      <c r="AD18" s="146" t="str">
        <f>IF(K8=1.95,"J",IF(K8&gt;1.95,"J",""))</f>
        <v/>
      </c>
      <c r="AE18" s="146" t="str">
        <f>IF(K8=1.96,"J",IF(K8&gt;1.96,"J",""))</f>
        <v/>
      </c>
      <c r="AF18" s="146" t="str">
        <f>IF(K8=1.97,"J",IF(K8&gt;1.97,"J",""))</f>
        <v/>
      </c>
      <c r="AG18" s="146" t="str">
        <f>IF(K8=1.98,"J",IF(K8&gt;1.98,"J",""))</f>
        <v/>
      </c>
      <c r="AH18" s="146" t="str">
        <f>IF(K8=1.99,"J",IF(K8&gt;1.99,"J",""))</f>
        <v/>
      </c>
      <c r="AI18" s="147" t="str">
        <f>IF(K8=2,"J",IF(K8&gt;2,"J",""))</f>
        <v/>
      </c>
      <c r="AJ18" s="3"/>
      <c r="AK18" s="145" t="str">
        <f>IF(K8=2.91,"J",IF(K8&gt;2.91,"J",""))</f>
        <v/>
      </c>
      <c r="AL18" s="146" t="str">
        <f>IF(K8=2.92,"J",IF(K8&gt;2.92,"J",""))</f>
        <v/>
      </c>
      <c r="AM18" s="146" t="str">
        <f>IF(K8=2.93,"J",IF(K8&gt;2.93,"J",""))</f>
        <v/>
      </c>
      <c r="AN18" s="146" t="str">
        <f>IF(K8=2.94,"J",IF(K8&gt;2.94,"J",""))</f>
        <v/>
      </c>
      <c r="AO18" s="146" t="str">
        <f>IF(K8=2.95,"J",IF(K8&gt;2.95,"J",""))</f>
        <v/>
      </c>
      <c r="AP18" s="146" t="str">
        <f>IF(K8=2.96,"J",IF(K8&gt;2.96,"J",""))</f>
        <v/>
      </c>
      <c r="AQ18" s="146" t="str">
        <f>IF(K8=2.97,"J",IF(K8&gt;2.97,"J",""))</f>
        <v/>
      </c>
      <c r="AR18" s="146" t="str">
        <f>IF(K8=2.98,"J",IF(K8&gt;2.98,"J",""))</f>
        <v/>
      </c>
      <c r="AS18" s="146" t="str">
        <f>IF(K8=2.99,"J",IF(K8&gt;2.99,"J",""))</f>
        <v/>
      </c>
      <c r="AT18" s="147" t="str">
        <f>IF(K8=3,"J",IF(K8&gt;3,"J",""))</f>
        <v/>
      </c>
      <c r="AU18" s="3"/>
    </row>
    <row r="19" spans="1:47" ht="20.25" thickTop="1">
      <c r="D19" s="19"/>
      <c r="E19" s="12"/>
      <c r="F19" s="12"/>
      <c r="G19" s="12"/>
      <c r="H19" s="12"/>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row>
    <row r="20" spans="1:47">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row>
    <row r="21" spans="1:47" ht="22.5">
      <c r="A21" s="34" t="s">
        <v>90</v>
      </c>
    </row>
    <row r="22" spans="1:47">
      <c r="A22" s="29" t="s">
        <v>136</v>
      </c>
    </row>
    <row r="23" spans="1:47">
      <c r="A23" s="29" t="s">
        <v>137</v>
      </c>
    </row>
    <row r="24" spans="1:47">
      <c r="A24" s="29" t="s">
        <v>88</v>
      </c>
    </row>
    <row r="25" spans="1:47">
      <c r="A25" s="29" t="s">
        <v>89</v>
      </c>
    </row>
    <row r="27" spans="1:47" ht="20.25" customHeight="1" thickBot="1">
      <c r="B27" s="30">
        <v>3</v>
      </c>
      <c r="D27" s="54">
        <v>1</v>
      </c>
      <c r="F27" s="15">
        <v>5</v>
      </c>
      <c r="H27" s="225">
        <v>0.5</v>
      </c>
      <c r="I27" s="17" t="str">
        <f>IF(H27="","",IF(H27=D27/D28,"J"))</f>
        <v>J</v>
      </c>
    </row>
    <row r="28" spans="1:47" ht="20.25" customHeight="1" thickTop="1">
      <c r="B28" s="31">
        <v>6</v>
      </c>
      <c r="D28" s="55">
        <v>2</v>
      </c>
      <c r="F28" s="32">
        <v>10</v>
      </c>
      <c r="H28" s="225"/>
    </row>
    <row r="29" spans="1:47">
      <c r="B29" s="56"/>
      <c r="F29" s="19" t="str">
        <f>IF(F28="","",IF(F27="","",IF(F27/F28=D27/D28,"J","L")))</f>
        <v>J</v>
      </c>
    </row>
    <row r="30" spans="1:47" s="23" customFormat="1" ht="22.5">
      <c r="A30" s="23" t="s">
        <v>81</v>
      </c>
    </row>
    <row r="31" spans="1:47" s="23" customFormat="1" ht="22.5">
      <c r="A31" s="23" t="s">
        <v>138</v>
      </c>
    </row>
    <row r="32" spans="1:47" s="23" customFormat="1" ht="22.5">
      <c r="A32" s="23" t="s">
        <v>82</v>
      </c>
    </row>
    <row r="33" spans="1:23" s="23" customFormat="1" ht="22.5">
      <c r="A33" s="23" t="s">
        <v>83</v>
      </c>
    </row>
    <row r="34" spans="1:23" s="23" customFormat="1" ht="22.5">
      <c r="A34" s="23" t="s">
        <v>84</v>
      </c>
    </row>
    <row r="35" spans="1:23" s="23" customFormat="1" ht="22.5">
      <c r="A35" s="23" t="s">
        <v>85</v>
      </c>
    </row>
    <row r="36" spans="1:23" ht="22.5">
      <c r="A36" s="34" t="s">
        <v>70</v>
      </c>
    </row>
    <row r="37" spans="1:23" s="23" customFormat="1" ht="23.25" thickBot="1">
      <c r="A37" s="23" t="s">
        <v>54</v>
      </c>
      <c r="B37" s="30">
        <v>1</v>
      </c>
      <c r="C37" s="29"/>
      <c r="D37" s="230">
        <v>0.5</v>
      </c>
      <c r="E37" s="17" t="str">
        <f>IF(D37="","",IF(D37=B37/B38,"J","L"))</f>
        <v>J</v>
      </c>
      <c r="I37" s="35">
        <v>1</v>
      </c>
      <c r="J37" s="67">
        <v>0</v>
      </c>
      <c r="K37" s="35"/>
      <c r="L37" s="41">
        <v>2</v>
      </c>
      <c r="M37" s="35"/>
      <c r="N37" s="35"/>
      <c r="O37" s="35"/>
    </row>
    <row r="38" spans="1:23" s="23" customFormat="1" ht="23.25" thickTop="1">
      <c r="B38" s="31">
        <v>2</v>
      </c>
      <c r="C38" s="29"/>
      <c r="D38" s="230"/>
      <c r="E38" s="29"/>
      <c r="I38" s="35"/>
      <c r="J38" s="68">
        <v>0</v>
      </c>
      <c r="K38" s="35"/>
      <c r="L38" s="69">
        <v>0</v>
      </c>
      <c r="M38" s="69" t="s">
        <v>86</v>
      </c>
      <c r="N38" s="69">
        <v>5</v>
      </c>
    </row>
    <row r="39" spans="1:23" s="23" customFormat="1" ht="22.5">
      <c r="I39" s="35"/>
      <c r="K39" s="35"/>
      <c r="L39" s="36"/>
      <c r="M39" s="35"/>
      <c r="N39" s="35"/>
    </row>
    <row r="40" spans="1:23" ht="20.25">
      <c r="H40" s="38"/>
      <c r="I40" s="38"/>
      <c r="J40" s="35"/>
      <c r="K40" s="35"/>
      <c r="L40" s="36"/>
      <c r="M40" s="35"/>
      <c r="N40" s="35"/>
      <c r="O40" s="35"/>
    </row>
    <row r="41" spans="1:23" ht="20.25">
      <c r="H41" s="35"/>
      <c r="I41" s="35"/>
      <c r="J41" s="35"/>
      <c r="K41" s="35"/>
      <c r="L41" s="36"/>
      <c r="N41" s="35"/>
      <c r="O41" s="35"/>
      <c r="P41" s="26" t="str">
        <f>IF(J38&gt;L37,"L",IF((L38+N38*0.1+O38*0.01+P38*0.01)*L37=I37,"J","L"))</f>
        <v>J</v>
      </c>
    </row>
    <row r="42" spans="1:23" ht="20.25">
      <c r="H42" s="38"/>
      <c r="I42" s="38"/>
      <c r="J42" s="39"/>
      <c r="K42" s="40"/>
      <c r="L42" s="40"/>
      <c r="M42" s="35"/>
      <c r="N42" s="35"/>
    </row>
    <row r="43" spans="1:23" ht="20.25">
      <c r="H43" s="35"/>
      <c r="I43" s="35"/>
      <c r="J43" s="38"/>
      <c r="K43" s="40"/>
      <c r="L43" s="35"/>
      <c r="M43" s="35"/>
      <c r="N43" s="35"/>
      <c r="O43" s="35"/>
    </row>
    <row r="44" spans="1:23" ht="20.25">
      <c r="A44" s="47"/>
      <c r="B44" s="47"/>
      <c r="C44" s="47"/>
      <c r="D44" s="47"/>
      <c r="E44" s="47"/>
      <c r="F44" s="47"/>
      <c r="G44" s="47"/>
      <c r="H44" s="43"/>
      <c r="I44" s="43"/>
      <c r="J44" s="44"/>
      <c r="K44" s="53"/>
      <c r="L44" s="43"/>
      <c r="M44" s="43"/>
      <c r="N44" s="43"/>
      <c r="O44" s="43"/>
      <c r="P44" s="47"/>
      <c r="Q44" s="47"/>
      <c r="R44" s="47"/>
      <c r="S44" s="47"/>
      <c r="T44" s="47"/>
      <c r="U44" s="47"/>
      <c r="V44" s="47"/>
      <c r="W44" s="47"/>
    </row>
    <row r="45" spans="1:23" ht="20.25">
      <c r="H45" s="35"/>
      <c r="I45" s="35"/>
      <c r="J45" s="38"/>
      <c r="K45" s="40"/>
      <c r="L45" s="35"/>
      <c r="M45" s="35"/>
      <c r="N45" s="35"/>
      <c r="O45" s="35"/>
    </row>
    <row r="46" spans="1:23" s="23" customFormat="1" ht="23.25" thickBot="1">
      <c r="A46" s="23" t="s">
        <v>55</v>
      </c>
      <c r="B46" s="30">
        <v>1</v>
      </c>
      <c r="C46" s="29"/>
      <c r="D46" s="229">
        <f>N47+P47*0.1+Q47*0.01+R47*0.001</f>
        <v>0.33300000000000007</v>
      </c>
      <c r="E46" s="17" t="str">
        <f>IF(D46=1,"L",IF(D46&gt;1,"L",IF(D46&lt;(B46/B47)-0.001,"L",IF(D46=(N47+P47*0.1+Q47*0.01+R47*0.001),"J","L"))))</f>
        <v>J</v>
      </c>
      <c r="I46" s="29">
        <v>1</v>
      </c>
      <c r="J46" s="67">
        <v>0</v>
      </c>
      <c r="K46" s="72"/>
      <c r="L46" s="13"/>
      <c r="M46" s="13"/>
      <c r="N46" s="73">
        <v>3</v>
      </c>
      <c r="O46" s="72"/>
      <c r="P46" s="72"/>
      <c r="Q46" s="72"/>
      <c r="R46" s="13"/>
    </row>
    <row r="47" spans="1:23" s="23" customFormat="1" ht="23.25" thickTop="1">
      <c r="B47" s="31">
        <v>3</v>
      </c>
      <c r="C47" s="29"/>
      <c r="D47" s="229"/>
      <c r="E47" s="29"/>
      <c r="I47" s="35"/>
      <c r="J47" s="74">
        <v>1</v>
      </c>
      <c r="K47" s="74">
        <v>0</v>
      </c>
      <c r="L47" s="13"/>
      <c r="M47" s="13"/>
      <c r="N47" s="75">
        <v>0</v>
      </c>
      <c r="O47" s="75" t="s">
        <v>86</v>
      </c>
      <c r="P47" s="76">
        <v>3</v>
      </c>
      <c r="Q47" s="77">
        <v>3</v>
      </c>
      <c r="R47" s="78">
        <v>3</v>
      </c>
    </row>
    <row r="48" spans="1:23" s="23" customFormat="1" ht="22.5">
      <c r="I48" s="35"/>
      <c r="J48" s="72"/>
      <c r="K48" s="79">
        <v>1</v>
      </c>
      <c r="L48" s="79">
        <v>0</v>
      </c>
      <c r="M48" s="13"/>
      <c r="N48" s="80"/>
      <c r="O48" s="72"/>
      <c r="P48" s="72"/>
      <c r="Q48" s="81"/>
      <c r="R48" s="13"/>
    </row>
    <row r="49" spans="1:23" ht="20.25">
      <c r="I49" s="38"/>
      <c r="J49" s="72"/>
      <c r="K49" s="72"/>
      <c r="L49" s="82">
        <v>1</v>
      </c>
      <c r="M49" s="12"/>
      <c r="N49" s="80"/>
      <c r="O49" s="72"/>
      <c r="P49" s="72"/>
      <c r="Q49" s="72"/>
      <c r="R49" s="12"/>
    </row>
    <row r="50" spans="1:23" ht="20.25">
      <c r="I50" s="35"/>
      <c r="J50" s="12"/>
      <c r="K50" s="12"/>
      <c r="L50" s="12"/>
      <c r="M50" s="12"/>
      <c r="N50" s="80"/>
      <c r="O50" s="12"/>
      <c r="P50" s="72"/>
      <c r="Q50" s="72"/>
      <c r="R50" s="26" t="str">
        <f>IF(L49&gt;N46,"L",IF((N47+P47*0.1+Q47*0.01+R47*0.001)*N46+L49*0.001=I46,"J","L"))</f>
        <v>J</v>
      </c>
    </row>
    <row r="51" spans="1:23" ht="87.75" customHeight="1">
      <c r="J51" s="38"/>
      <c r="K51" s="38"/>
      <c r="N51" s="39"/>
      <c r="O51" s="40"/>
      <c r="P51" s="40"/>
      <c r="Q51" s="35"/>
      <c r="R51" s="35"/>
    </row>
    <row r="52" spans="1:23" ht="19.5" customHeight="1">
      <c r="J52" s="38"/>
      <c r="K52" s="38"/>
      <c r="N52" s="39"/>
      <c r="O52" s="40"/>
      <c r="P52" s="40"/>
      <c r="Q52" s="35"/>
      <c r="R52" s="35"/>
    </row>
    <row r="53" spans="1:23" ht="20.25">
      <c r="A53" s="47"/>
      <c r="B53" s="47"/>
      <c r="C53" s="47"/>
      <c r="D53" s="47"/>
      <c r="E53" s="47"/>
      <c r="F53" s="47"/>
      <c r="G53" s="47"/>
      <c r="H53" s="47"/>
      <c r="I53" s="47"/>
      <c r="J53" s="47"/>
      <c r="K53" s="43"/>
      <c r="L53" s="44"/>
      <c r="M53" s="53"/>
      <c r="N53" s="43"/>
      <c r="O53" s="43"/>
      <c r="P53" s="43"/>
      <c r="Q53" s="43"/>
      <c r="R53" s="47"/>
      <c r="S53" s="47"/>
      <c r="T53" s="47"/>
      <c r="U53" s="47"/>
      <c r="V53" s="47"/>
      <c r="W53" s="47"/>
    </row>
    <row r="54" spans="1:23" ht="19.5" customHeight="1">
      <c r="B54" s="12"/>
      <c r="C54" s="12"/>
      <c r="D54" s="12"/>
      <c r="E54" s="12"/>
      <c r="F54" s="12"/>
      <c r="G54" s="12"/>
      <c r="H54" s="12"/>
      <c r="I54" s="12"/>
      <c r="J54" s="83"/>
      <c r="K54" s="83"/>
      <c r="L54" s="12"/>
      <c r="M54" s="12"/>
      <c r="N54" s="84"/>
      <c r="O54" s="85"/>
      <c r="P54" s="85"/>
      <c r="Q54" s="72"/>
      <c r="R54" s="72"/>
      <c r="S54" s="12"/>
    </row>
    <row r="55" spans="1:23" ht="23.25" thickBot="1">
      <c r="A55" s="29" t="s">
        <v>56</v>
      </c>
      <c r="B55" s="14">
        <v>2</v>
      </c>
      <c r="C55" s="12"/>
      <c r="D55" s="229">
        <f>N56+P56*0.1+Q56*0.01+R56*0.001</f>
        <v>0.28500000000000003</v>
      </c>
      <c r="E55" s="17" t="str">
        <f>IF(D55=1,"L",IF(D55&gt;1,"L",IF(D55&lt;(B55/B56)-0.001,"L",IF(D55=(N56+P56*0.1+Q56*0.01+R56*0.001),"J","L"))))</f>
        <v>J</v>
      </c>
      <c r="F55" s="12"/>
      <c r="G55" s="12"/>
      <c r="H55" s="12"/>
      <c r="I55" s="12">
        <v>2</v>
      </c>
      <c r="J55" s="67">
        <v>0</v>
      </c>
      <c r="K55" s="72"/>
      <c r="L55" s="13"/>
      <c r="M55" s="13"/>
      <c r="N55" s="73">
        <v>7</v>
      </c>
      <c r="O55" s="72"/>
      <c r="P55" s="72"/>
      <c r="Q55" s="72"/>
      <c r="R55" s="13"/>
      <c r="S55" s="12"/>
    </row>
    <row r="56" spans="1:23" ht="23.25" thickTop="1">
      <c r="B56" s="86">
        <v>7</v>
      </c>
      <c r="C56" s="12"/>
      <c r="D56" s="229"/>
      <c r="E56" s="12"/>
      <c r="F56" s="12"/>
      <c r="G56" s="12"/>
      <c r="H56" s="12"/>
      <c r="I56" s="72"/>
      <c r="J56" s="74">
        <v>6</v>
      </c>
      <c r="K56" s="74">
        <v>0</v>
      </c>
      <c r="L56" s="13"/>
      <c r="M56" s="13"/>
      <c r="N56" s="75">
        <v>0</v>
      </c>
      <c r="O56" s="75" t="s">
        <v>86</v>
      </c>
      <c r="P56" s="76">
        <v>2</v>
      </c>
      <c r="Q56" s="77">
        <v>8</v>
      </c>
      <c r="R56" s="78">
        <v>5</v>
      </c>
      <c r="S56" s="12"/>
    </row>
    <row r="57" spans="1:23" ht="22.5">
      <c r="B57" s="12"/>
      <c r="C57" s="12"/>
      <c r="D57" s="12"/>
      <c r="E57" s="12"/>
      <c r="F57" s="12"/>
      <c r="G57" s="12"/>
      <c r="H57" s="12"/>
      <c r="I57" s="72"/>
      <c r="J57" s="72"/>
      <c r="K57" s="79">
        <v>4</v>
      </c>
      <c r="L57" s="79">
        <v>0</v>
      </c>
      <c r="M57" s="13"/>
      <c r="N57" s="80"/>
      <c r="O57" s="72"/>
      <c r="P57" s="72"/>
      <c r="Q57" s="81"/>
      <c r="R57" s="13"/>
      <c r="S57" s="12"/>
    </row>
    <row r="58" spans="1:23" ht="20.25">
      <c r="B58" s="12"/>
      <c r="C58" s="12"/>
      <c r="D58" s="12"/>
      <c r="E58" s="12"/>
      <c r="F58" s="12"/>
      <c r="G58" s="12"/>
      <c r="H58" s="12"/>
      <c r="I58" s="83"/>
      <c r="J58" s="72"/>
      <c r="K58" s="72"/>
      <c r="L58" s="82">
        <v>5</v>
      </c>
      <c r="M58" s="12"/>
      <c r="N58" s="80"/>
      <c r="O58" s="72"/>
      <c r="P58" s="72"/>
      <c r="Q58" s="72"/>
      <c r="R58" s="12"/>
      <c r="S58" s="12"/>
    </row>
    <row r="59" spans="1:23" ht="20.25">
      <c r="B59" s="12"/>
      <c r="C59" s="12"/>
      <c r="D59" s="12"/>
      <c r="E59" s="12"/>
      <c r="F59" s="12"/>
      <c r="G59" s="12"/>
      <c r="H59" s="12"/>
      <c r="I59" s="72"/>
      <c r="J59" s="12"/>
      <c r="K59" s="12"/>
      <c r="L59" s="12"/>
      <c r="M59" s="12"/>
      <c r="N59" s="80"/>
      <c r="O59" s="12"/>
      <c r="P59" s="72"/>
      <c r="Q59" s="72"/>
      <c r="R59" s="26" t="str">
        <f>IF(L58&gt;N55,"L",IF((N56+P56*0.1+Q56*0.01+R56*0.001)*N55+L58*0.001=I55,"J","L"))</f>
        <v>J</v>
      </c>
      <c r="S59" s="12"/>
    </row>
    <row r="60" spans="1:23">
      <c r="B60" s="12"/>
      <c r="C60" s="12"/>
      <c r="D60" s="12"/>
      <c r="E60" s="12"/>
      <c r="F60" s="12"/>
      <c r="G60" s="12"/>
      <c r="H60" s="12"/>
      <c r="I60" s="12"/>
      <c r="J60" s="12"/>
      <c r="K60" s="12"/>
      <c r="L60" s="12"/>
      <c r="M60" s="12"/>
      <c r="N60" s="12"/>
      <c r="O60" s="12"/>
      <c r="P60" s="12"/>
      <c r="Q60" s="12"/>
      <c r="R60" s="12"/>
      <c r="S60" s="12"/>
    </row>
    <row r="65" spans="1:23" ht="20.25">
      <c r="A65" s="47"/>
      <c r="B65" s="47"/>
      <c r="C65" s="47"/>
      <c r="D65" s="47"/>
      <c r="E65" s="47"/>
      <c r="F65" s="47"/>
      <c r="G65" s="47"/>
      <c r="H65" s="43"/>
      <c r="I65" s="43"/>
      <c r="J65" s="44"/>
      <c r="K65" s="53"/>
      <c r="L65" s="43"/>
      <c r="M65" s="43"/>
      <c r="N65" s="43"/>
      <c r="O65" s="43"/>
      <c r="P65" s="47"/>
      <c r="Q65" s="47"/>
      <c r="R65" s="47"/>
      <c r="S65" s="47"/>
      <c r="T65" s="47"/>
      <c r="U65" s="47"/>
      <c r="V65" s="47"/>
      <c r="W65" s="47"/>
    </row>
    <row r="66" spans="1:23" ht="48.75" customHeight="1"/>
    <row r="67" spans="1:23">
      <c r="A67" s="29" t="s">
        <v>91</v>
      </c>
    </row>
    <row r="68" spans="1:23">
      <c r="A68" s="29" t="s">
        <v>92</v>
      </c>
    </row>
    <row r="69" spans="1:23">
      <c r="A69" s="29" t="s">
        <v>93</v>
      </c>
    </row>
    <row r="70" spans="1:23" ht="43.5" customHeight="1"/>
    <row r="71" spans="1:23" ht="20.25" thickBot="1">
      <c r="A71" s="29" t="s">
        <v>54</v>
      </c>
      <c r="B71" s="30">
        <v>2</v>
      </c>
      <c r="D71" s="15"/>
      <c r="F71" s="225"/>
      <c r="G71" s="17" t="str">
        <f>IF(F71="","",IF(F71=B71/B72,"J","L"))</f>
        <v/>
      </c>
    </row>
    <row r="72" spans="1:23" ht="24" thickTop="1" thickBot="1">
      <c r="B72" s="31">
        <v>4</v>
      </c>
      <c r="D72" s="32"/>
      <c r="F72" s="225"/>
      <c r="I72" s="57"/>
      <c r="J72" s="42"/>
      <c r="K72" s="42"/>
      <c r="L72" s="23"/>
      <c r="M72" s="23"/>
      <c r="N72" s="58"/>
      <c r="O72" s="35"/>
      <c r="P72" s="35"/>
      <c r="Q72" s="35"/>
      <c r="R72" s="23"/>
    </row>
    <row r="73" spans="1:23" ht="23.25" thickTop="1">
      <c r="D73" s="19" t="str">
        <f>IF(D72="","",IF(D71="","",IF(D71/D72=B71/B72,"J","L")))</f>
        <v/>
      </c>
      <c r="I73" s="49"/>
      <c r="J73" s="49"/>
      <c r="K73" s="49"/>
      <c r="L73" s="23"/>
      <c r="M73" s="23"/>
      <c r="N73" s="45"/>
      <c r="O73" s="59" t="s">
        <v>86</v>
      </c>
      <c r="P73" s="46"/>
      <c r="Q73" s="48"/>
      <c r="R73" s="52"/>
    </row>
    <row r="74" spans="1:23" ht="22.5">
      <c r="I74" s="35"/>
      <c r="J74" s="35"/>
      <c r="K74" s="50"/>
      <c r="L74" s="50"/>
      <c r="M74" s="23"/>
      <c r="N74" s="36"/>
      <c r="O74" s="35"/>
      <c r="P74" s="35"/>
      <c r="Q74" s="37"/>
      <c r="R74" s="23"/>
    </row>
    <row r="75" spans="1:23" ht="21" thickBot="1">
      <c r="A75" s="29" t="s">
        <v>55</v>
      </c>
      <c r="B75" s="30">
        <v>3</v>
      </c>
      <c r="D75" s="15"/>
      <c r="F75" s="224"/>
      <c r="G75" s="17" t="str">
        <f>IF(F75="","",IF(F75=B75/B76,"J","L"))</f>
        <v/>
      </c>
      <c r="I75" s="38"/>
      <c r="J75" s="35"/>
      <c r="K75" s="35"/>
      <c r="L75" s="51"/>
      <c r="N75" s="36"/>
      <c r="O75" s="35"/>
      <c r="P75" s="35"/>
      <c r="Q75" s="35"/>
    </row>
    <row r="76" spans="1:23" ht="21" thickTop="1">
      <c r="B76" s="31">
        <v>4</v>
      </c>
      <c r="D76" s="32"/>
      <c r="F76" s="224"/>
      <c r="I76" s="35"/>
      <c r="N76" s="36"/>
      <c r="P76" s="35"/>
      <c r="Q76" s="35"/>
      <c r="R76" s="26" t="str">
        <f>IF(L75&gt;N72,"L",IF((N73+P73*0.1+Q73*0.01+R73*0.001)*N72+L75*0.001=I72,"J","L"))</f>
        <v>J</v>
      </c>
    </row>
    <row r="77" spans="1:23">
      <c r="D77" s="19" t="str">
        <f>IF(D76="","",IF(D75="","",IF(D75/D76=B75/B76,"J","L")))</f>
        <v/>
      </c>
    </row>
    <row r="79" spans="1:23" ht="20.25" thickBot="1">
      <c r="A79" s="29" t="s">
        <v>56</v>
      </c>
      <c r="B79" s="30">
        <v>3</v>
      </c>
      <c r="D79" s="15"/>
      <c r="F79" s="227"/>
      <c r="G79" s="17" t="str">
        <f>IF(F79="","",IF(F79=B79/B80,"J","L"))</f>
        <v/>
      </c>
    </row>
    <row r="80" spans="1:23" ht="20.25" thickTop="1">
      <c r="B80" s="31">
        <v>8</v>
      </c>
      <c r="D80" s="32"/>
      <c r="F80" s="227"/>
    </row>
    <row r="81" spans="1:18">
      <c r="D81" s="19" t="str">
        <f>IF(D80="","",IF(D79="","",IF(D79/D80=B79/B80,"J","L")))</f>
        <v/>
      </c>
    </row>
    <row r="83" spans="1:18" ht="20.25" thickBot="1">
      <c r="A83" s="29" t="s">
        <v>57</v>
      </c>
      <c r="B83" s="30">
        <v>2</v>
      </c>
      <c r="D83" s="15"/>
      <c r="F83" s="225"/>
      <c r="G83" s="17" t="str">
        <f>IF(F83="","",IF(F83=B83/B84,"J","L"))</f>
        <v/>
      </c>
    </row>
    <row r="84" spans="1:18" ht="20.25" thickTop="1">
      <c r="B84" s="31">
        <v>5</v>
      </c>
      <c r="D84" s="32"/>
      <c r="F84" s="225"/>
    </row>
    <row r="85" spans="1:18">
      <c r="D85" s="19" t="str">
        <f>IF(D84="","",IF(D83="","",IF(D83/D84=B83/B84,"J","L")))</f>
        <v/>
      </c>
    </row>
    <row r="87" spans="1:18" ht="20.25" thickBot="1">
      <c r="A87" s="29" t="s">
        <v>58</v>
      </c>
      <c r="B87" s="30">
        <v>3</v>
      </c>
      <c r="D87" s="15"/>
      <c r="F87" s="224"/>
      <c r="G87" s="17" t="str">
        <f>IF(F87="","",IF(F87=B87/B88,"J","L"))</f>
        <v/>
      </c>
    </row>
    <row r="88" spans="1:18" ht="20.25" thickTop="1">
      <c r="B88" s="31">
        <v>5</v>
      </c>
      <c r="D88" s="32"/>
      <c r="F88" s="224"/>
    </row>
    <row r="89" spans="1:18">
      <c r="D89" s="19" t="str">
        <f>IF(D88="","",IF(D87="","",IF(D87/D88=B87/B88,"J","L")))</f>
        <v/>
      </c>
    </row>
    <row r="90" spans="1:18" ht="23.25" thickBot="1">
      <c r="D90" s="19"/>
      <c r="I90" s="57"/>
      <c r="J90" s="42"/>
      <c r="K90" s="42"/>
      <c r="L90" s="23"/>
      <c r="M90" s="23"/>
      <c r="N90" s="58"/>
      <c r="O90" s="35"/>
      <c r="P90" s="35"/>
      <c r="Q90" s="35"/>
      <c r="R90" s="23"/>
    </row>
    <row r="91" spans="1:18" ht="24" thickTop="1" thickBot="1">
      <c r="A91" s="29" t="s">
        <v>60</v>
      </c>
      <c r="B91" s="30">
        <v>5</v>
      </c>
      <c r="D91" s="15"/>
      <c r="F91" s="225"/>
      <c r="G91" s="17" t="str">
        <f>IF(F91="","",IF(F91=B91/B92,"J","L"))</f>
        <v/>
      </c>
      <c r="I91" s="49"/>
      <c r="J91" s="49"/>
      <c r="K91" s="49"/>
      <c r="L91" s="23"/>
      <c r="M91" s="23"/>
      <c r="N91" s="45"/>
      <c r="O91" s="59" t="s">
        <v>86</v>
      </c>
      <c r="P91" s="46"/>
      <c r="Q91" s="48"/>
      <c r="R91" s="52"/>
    </row>
    <row r="92" spans="1:18" ht="23.25" thickTop="1">
      <c r="B92" s="31">
        <v>20</v>
      </c>
      <c r="D92" s="32"/>
      <c r="F92" s="225"/>
      <c r="I92" s="35"/>
      <c r="J92" s="35"/>
      <c r="K92" s="50"/>
      <c r="L92" s="50"/>
      <c r="M92" s="23"/>
      <c r="N92" s="36"/>
      <c r="O92" s="35"/>
      <c r="P92" s="35"/>
      <c r="Q92" s="37"/>
      <c r="R92" s="23"/>
    </row>
    <row r="93" spans="1:18" ht="20.25">
      <c r="D93" s="19" t="str">
        <f>IF(D92="","",IF(D91="","",IF(D91/D92=B91/B92,"J","L")))</f>
        <v/>
      </c>
      <c r="I93" s="38"/>
      <c r="J93" s="35"/>
      <c r="K93" s="35"/>
      <c r="L93" s="51"/>
      <c r="N93" s="36"/>
      <c r="O93" s="35"/>
      <c r="P93" s="35"/>
      <c r="Q93" s="35"/>
    </row>
    <row r="94" spans="1:18" ht="20.25">
      <c r="I94" s="35"/>
      <c r="N94" s="36"/>
      <c r="P94" s="35"/>
      <c r="Q94" s="35"/>
      <c r="R94" s="26" t="str">
        <f>IF(L93&gt;N90,"L",IF((N91+P91*0.1+Q91*0.01+R91*0.001)*N90+L93*0.001=I90,"J","L"))</f>
        <v>J</v>
      </c>
    </row>
    <row r="95" spans="1:18" ht="20.25" thickBot="1">
      <c r="A95" s="29" t="s">
        <v>61</v>
      </c>
      <c r="B95" s="30">
        <v>10</v>
      </c>
      <c r="D95" s="15"/>
      <c r="F95" s="224"/>
      <c r="G95" s="17" t="str">
        <f>IF(F95="","",IF(F95=B95/B96,"J","L"))</f>
        <v/>
      </c>
    </row>
    <row r="96" spans="1:18" ht="20.25" thickTop="1">
      <c r="B96" s="31">
        <v>20</v>
      </c>
      <c r="D96" s="32"/>
      <c r="F96" s="224"/>
    </row>
    <row r="97" spans="1:23">
      <c r="D97" s="19" t="str">
        <f>IF(D96="","",IF(D95="","",IF(D95/D96=B95/B96,"J","L")))</f>
        <v/>
      </c>
    </row>
    <row r="99" spans="1:23" ht="20.25" thickBot="1">
      <c r="A99" s="29" t="s">
        <v>62</v>
      </c>
      <c r="B99" s="30">
        <v>3</v>
      </c>
      <c r="D99" s="15"/>
      <c r="F99" s="224"/>
      <c r="G99" s="17" t="str">
        <f>IF(F99="","",IF(F99=B99/B100,"J","L"))</f>
        <v/>
      </c>
    </row>
    <row r="100" spans="1:23" ht="21" thickTop="1" thickBot="1">
      <c r="B100" s="31">
        <v>25</v>
      </c>
      <c r="D100" s="32"/>
      <c r="F100" s="224"/>
    </row>
    <row r="101" spans="1:23" ht="30.75" thickTop="1" thickBot="1">
      <c r="D101" s="19" t="str">
        <f>IF(D100="","",IF(D99="","",IF(D99/D100=B99/B100,"J","L")))</f>
        <v/>
      </c>
      <c r="T101" s="87">
        <f>T103*10</f>
        <v>0</v>
      </c>
      <c r="U101" s="64" t="s">
        <v>102</v>
      </c>
    </row>
    <row r="102" spans="1:23" ht="21" thickTop="1" thickBot="1"/>
    <row r="103" spans="1:23" ht="21" thickTop="1" thickBot="1">
      <c r="A103" s="29" t="s">
        <v>63</v>
      </c>
      <c r="B103" s="30">
        <v>5</v>
      </c>
      <c r="D103" s="15"/>
      <c r="F103" s="225"/>
      <c r="G103" s="17" t="str">
        <f>IF(F103="","",IF(F103=B103/B104,"J","L"))</f>
        <v/>
      </c>
      <c r="Q103" s="29" t="s">
        <v>101</v>
      </c>
      <c r="T103" s="63">
        <f>COUNTIF(G71:G108,"J")</f>
        <v>0</v>
      </c>
    </row>
    <row r="104" spans="1:23" ht="20.25" thickTop="1">
      <c r="B104" s="31">
        <v>5</v>
      </c>
      <c r="D104" s="32"/>
      <c r="F104" s="225"/>
    </row>
    <row r="105" spans="1:23">
      <c r="D105" s="19" t="str">
        <f>IF(D104="","",IF(D103="","",IF(D103/D104=B103/B104,"J","L")))</f>
        <v/>
      </c>
      <c r="N105" s="29" t="s">
        <v>99</v>
      </c>
    </row>
    <row r="106" spans="1:23">
      <c r="N106" s="29" t="s">
        <v>100</v>
      </c>
    </row>
    <row r="107" spans="1:23" ht="20.25" thickBot="1">
      <c r="A107" s="29" t="s">
        <v>64</v>
      </c>
      <c r="B107" s="30">
        <v>3</v>
      </c>
      <c r="D107" s="15"/>
      <c r="F107" s="224"/>
      <c r="G107" s="17" t="str">
        <f>IF(F107="","",IF(F107=B107/B108,"J","L"))</f>
        <v/>
      </c>
    </row>
    <row r="108" spans="1:23" ht="20.25" thickTop="1">
      <c r="B108" s="31">
        <v>50</v>
      </c>
      <c r="D108" s="32"/>
      <c r="F108" s="224"/>
    </row>
    <row r="109" spans="1:23">
      <c r="D109" s="19" t="str">
        <f>IF(D108="","",IF(D107="","",IF(D107/D108=B107/B108,"J","L")))</f>
        <v/>
      </c>
    </row>
    <row r="110" spans="1:23">
      <c r="D110" s="19"/>
    </row>
    <row r="111" spans="1:23" ht="59.25" customHeight="1">
      <c r="A111" s="47"/>
      <c r="B111" s="47"/>
      <c r="C111" s="47"/>
      <c r="D111" s="47"/>
      <c r="E111" s="47"/>
      <c r="F111" s="47"/>
      <c r="G111" s="47"/>
      <c r="H111" s="43"/>
      <c r="I111" s="43"/>
      <c r="J111" s="44"/>
      <c r="K111" s="53"/>
      <c r="L111" s="43"/>
      <c r="M111" s="43"/>
      <c r="N111" s="43"/>
      <c r="O111" s="43"/>
      <c r="P111" s="47"/>
      <c r="Q111" s="47"/>
      <c r="R111" s="47"/>
      <c r="S111" s="47"/>
      <c r="T111" s="47"/>
      <c r="U111" s="47"/>
      <c r="V111" s="47"/>
      <c r="W111" s="47"/>
    </row>
    <row r="112" spans="1:23">
      <c r="A112" s="29" t="s">
        <v>98</v>
      </c>
      <c r="D112" s="19"/>
    </row>
    <row r="113" spans="1:24">
      <c r="A113" s="29" t="s">
        <v>94</v>
      </c>
      <c r="D113" s="19"/>
    </row>
    <row r="114" spans="1:24">
      <c r="A114" s="29" t="s">
        <v>95</v>
      </c>
      <c r="D114" s="19"/>
    </row>
    <row r="115" spans="1:24">
      <c r="A115" s="29" t="s">
        <v>96</v>
      </c>
      <c r="D115" s="19"/>
    </row>
    <row r="116" spans="1:24">
      <c r="A116" s="29" t="s">
        <v>97</v>
      </c>
      <c r="D116" s="19"/>
    </row>
    <row r="117" spans="1:24" ht="53.25" customHeight="1">
      <c r="D117" s="19"/>
    </row>
    <row r="118" spans="1:24" s="23" customFormat="1" ht="23.25" thickBot="1">
      <c r="A118" s="23" t="s">
        <v>54</v>
      </c>
      <c r="B118" s="30">
        <v>2</v>
      </c>
      <c r="C118" s="29"/>
      <c r="D118" s="229">
        <f>N119+P119*0.1+Q119*0.01+R119*0.001</f>
        <v>0</v>
      </c>
      <c r="E118" s="17" t="str">
        <f>IF(D118=1,"L",IF(D118&gt;1,"L",IF(D118&lt;(B118/B119)-0.001,"L",IF(D118=(N119+P119*0.1+Q119*0.01+R119*0.001),"J","L"))))</f>
        <v>L</v>
      </c>
      <c r="I118" s="57"/>
      <c r="J118" s="42"/>
      <c r="N118" s="58"/>
      <c r="O118" s="35"/>
      <c r="P118" s="35"/>
      <c r="Q118" s="35"/>
      <c r="S118" s="29"/>
    </row>
    <row r="119" spans="1:24" s="23" customFormat="1" ht="23.25" thickTop="1">
      <c r="B119" s="31">
        <v>3</v>
      </c>
      <c r="C119" s="29"/>
      <c r="D119" s="229"/>
      <c r="E119" s="29"/>
      <c r="I119" s="35"/>
      <c r="J119" s="49"/>
      <c r="K119" s="49"/>
      <c r="N119" s="45"/>
      <c r="O119" s="59" t="s">
        <v>86</v>
      </c>
      <c r="P119" s="46"/>
      <c r="Q119" s="48"/>
      <c r="R119" s="52"/>
      <c r="S119" s="29"/>
    </row>
    <row r="120" spans="1:24" s="23" customFormat="1" ht="22.5">
      <c r="I120" s="35"/>
      <c r="J120" s="35"/>
      <c r="K120" s="50"/>
      <c r="L120" s="50"/>
      <c r="N120" s="36"/>
      <c r="O120" s="35"/>
      <c r="P120" s="35"/>
      <c r="Q120" s="37"/>
      <c r="S120" s="29"/>
    </row>
    <row r="121" spans="1:24" ht="20.25">
      <c r="I121" s="38"/>
      <c r="J121" s="35"/>
      <c r="K121" s="35"/>
      <c r="L121" s="51"/>
      <c r="N121" s="36"/>
      <c r="O121" s="35"/>
      <c r="P121" s="35"/>
      <c r="Q121" s="35"/>
    </row>
    <row r="122" spans="1:24" ht="20.25">
      <c r="I122" s="35"/>
      <c r="N122" s="36"/>
      <c r="P122" s="35"/>
      <c r="Q122" s="35"/>
      <c r="R122" s="26" t="str">
        <f>IF(I118&lt;B118,"L",IF(I118&gt;B118,"L",IF(N118&lt;B119,"L",IF(N118&gt;B119,"L",IF(L121&gt;N118,"L",IF((N119+P119*0.1+Q119*0.01+R119*0.001)*N118+L121*0.001=I118,"J","L"))))))</f>
        <v>L</v>
      </c>
    </row>
    <row r="123" spans="1:24" ht="20.25">
      <c r="I123" s="29" t="s">
        <v>97</v>
      </c>
      <c r="N123" s="40"/>
      <c r="P123" s="35"/>
      <c r="Q123" s="35"/>
      <c r="R123" s="35"/>
      <c r="S123" s="35"/>
    </row>
    <row r="124" spans="1:24" ht="20.25">
      <c r="A124" s="60"/>
      <c r="B124" s="60"/>
      <c r="C124" s="60"/>
      <c r="D124" s="60"/>
      <c r="E124" s="60"/>
      <c r="F124" s="60"/>
      <c r="G124" s="65" t="s">
        <v>103</v>
      </c>
      <c r="H124" s="60"/>
      <c r="I124" s="60"/>
      <c r="J124" s="60"/>
      <c r="K124" s="60"/>
      <c r="L124" s="60"/>
      <c r="M124" s="60"/>
      <c r="N124" s="62"/>
      <c r="O124" s="60"/>
      <c r="P124" s="61"/>
      <c r="Q124" s="61"/>
      <c r="R124" s="61"/>
      <c r="S124" s="60"/>
      <c r="T124" s="60"/>
      <c r="U124" s="60"/>
      <c r="V124" s="60"/>
      <c r="W124" s="60"/>
      <c r="X124" s="60"/>
    </row>
    <row r="125" spans="1:24" ht="44.25" customHeight="1">
      <c r="D125" s="19"/>
    </row>
    <row r="126" spans="1:24" s="23" customFormat="1" ht="23.25" thickBot="1">
      <c r="A126" s="23" t="s">
        <v>55</v>
      </c>
      <c r="B126" s="30">
        <v>3</v>
      </c>
      <c r="C126" s="29"/>
      <c r="D126" s="229">
        <f>N127+P127*0.1+Q127*0.01+R127*0.001</f>
        <v>0</v>
      </c>
      <c r="E126" s="17" t="str">
        <f>IF(D126=1,"L",IF(D126&gt;1,"L",IF(D126&lt;(B126/B127)-0.001,"L",IF(D126=(N127+P127*0.1+Q127*0.01+R127*0.001),"J","L"))))</f>
        <v>L</v>
      </c>
      <c r="I126" s="57"/>
      <c r="J126" s="42"/>
      <c r="N126" s="58"/>
      <c r="O126" s="35"/>
      <c r="P126" s="35"/>
      <c r="Q126" s="35"/>
      <c r="S126" s="29"/>
    </row>
    <row r="127" spans="1:24" s="23" customFormat="1" ht="23.25" thickTop="1">
      <c r="B127" s="31">
        <v>7</v>
      </c>
      <c r="C127" s="29"/>
      <c r="D127" s="229"/>
      <c r="E127" s="12"/>
      <c r="I127" s="35"/>
      <c r="J127" s="49"/>
      <c r="K127" s="49"/>
      <c r="N127" s="45"/>
      <c r="O127" s="59" t="s">
        <v>86</v>
      </c>
      <c r="P127" s="46"/>
      <c r="Q127" s="48"/>
      <c r="R127" s="52"/>
      <c r="S127" s="29"/>
    </row>
    <row r="128" spans="1:24" s="23" customFormat="1" ht="22.5">
      <c r="I128" s="35"/>
      <c r="J128" s="35"/>
      <c r="K128" s="50"/>
      <c r="L128" s="50"/>
      <c r="N128" s="36"/>
      <c r="O128" s="35"/>
      <c r="P128" s="35"/>
      <c r="Q128" s="37"/>
      <c r="S128" s="29"/>
    </row>
    <row r="129" spans="1:24" ht="20.25">
      <c r="I129" s="38"/>
      <c r="J129" s="35"/>
      <c r="K129" s="35"/>
      <c r="L129" s="51"/>
      <c r="N129" s="36"/>
      <c r="O129" s="35"/>
      <c r="P129" s="35"/>
      <c r="Q129" s="35"/>
    </row>
    <row r="130" spans="1:24" ht="20.25">
      <c r="I130" s="35"/>
      <c r="N130" s="36"/>
      <c r="P130" s="35"/>
      <c r="Q130" s="35"/>
      <c r="R130" s="26" t="str">
        <f>IF(I126&lt;B126,"L",IF(I126&gt;B126,"L",IF(N126&lt;B127,"L",IF(N126&gt;B127,"L",IF(L129&gt;N126,"L",IF((N127+P127*0.1+Q127*0.01+R127*0.001)*N126+L129*0.001=I126,"J","L"))))))</f>
        <v>L</v>
      </c>
    </row>
    <row r="131" spans="1:24" ht="20.25">
      <c r="I131" s="29" t="s">
        <v>97</v>
      </c>
      <c r="N131" s="40"/>
      <c r="P131" s="35"/>
      <c r="Q131" s="35"/>
      <c r="R131" s="35"/>
      <c r="S131" s="35"/>
    </row>
    <row r="132" spans="1:24" ht="20.25">
      <c r="A132" s="60"/>
      <c r="B132" s="60"/>
      <c r="C132" s="60"/>
      <c r="D132" s="60"/>
      <c r="E132" s="60"/>
      <c r="F132" s="60"/>
      <c r="G132" s="65" t="s">
        <v>103</v>
      </c>
      <c r="H132" s="60"/>
      <c r="I132" s="60"/>
      <c r="J132" s="60"/>
      <c r="K132" s="60"/>
      <c r="L132" s="60"/>
      <c r="M132" s="60"/>
      <c r="N132" s="62"/>
      <c r="O132" s="60"/>
      <c r="P132" s="61"/>
      <c r="Q132" s="61"/>
      <c r="R132" s="61"/>
      <c r="S132" s="60"/>
      <c r="T132" s="60"/>
      <c r="U132" s="60"/>
      <c r="V132" s="60"/>
      <c r="W132" s="60"/>
      <c r="X132" s="60"/>
    </row>
    <row r="133" spans="1:24" ht="53.25" customHeight="1">
      <c r="D133" s="19"/>
    </row>
    <row r="134" spans="1:24" s="23" customFormat="1" ht="23.25" thickBot="1">
      <c r="A134" s="23" t="s">
        <v>56</v>
      </c>
      <c r="B134" s="30">
        <v>1</v>
      </c>
      <c r="C134" s="29"/>
      <c r="D134" s="229">
        <f>N135+P135*0.1+Q135*0.01+R135*0.001</f>
        <v>0</v>
      </c>
      <c r="E134" s="17" t="str">
        <f>IF(D134=1,"L",IF(D134&gt;1,"L",IF(D134&lt;(B134/B135)-0.001,"L",IF(D134=(N135+P135*0.1+Q135*0.01+R135*0.001),"J","L"))))</f>
        <v>L</v>
      </c>
      <c r="I134" s="57"/>
      <c r="J134" s="42"/>
      <c r="N134" s="58"/>
      <c r="O134" s="35"/>
      <c r="P134" s="35"/>
      <c r="Q134" s="35"/>
      <c r="S134" s="29"/>
    </row>
    <row r="135" spans="1:24" s="23" customFormat="1" ht="23.25" thickTop="1">
      <c r="B135" s="31">
        <v>9</v>
      </c>
      <c r="C135" s="29"/>
      <c r="D135" s="229"/>
      <c r="E135" s="29"/>
      <c r="I135" s="35"/>
      <c r="J135" s="49"/>
      <c r="K135" s="49"/>
      <c r="N135" s="45"/>
      <c r="O135" s="59" t="s">
        <v>86</v>
      </c>
      <c r="P135" s="46"/>
      <c r="Q135" s="48"/>
      <c r="R135" s="52"/>
      <c r="S135" s="29"/>
    </row>
    <row r="136" spans="1:24" s="23" customFormat="1" ht="22.5">
      <c r="I136" s="35"/>
      <c r="J136" s="35"/>
      <c r="K136" s="50"/>
      <c r="L136" s="50"/>
      <c r="N136" s="36"/>
      <c r="O136" s="35"/>
      <c r="P136" s="35"/>
      <c r="Q136" s="37"/>
      <c r="S136" s="29"/>
    </row>
    <row r="137" spans="1:24" ht="20.25">
      <c r="I137" s="38"/>
      <c r="J137" s="35"/>
      <c r="K137" s="35"/>
      <c r="L137" s="51"/>
      <c r="N137" s="36"/>
      <c r="O137" s="35"/>
      <c r="P137" s="35"/>
      <c r="Q137" s="35"/>
    </row>
    <row r="138" spans="1:24" ht="20.25">
      <c r="I138" s="35"/>
      <c r="N138" s="36"/>
      <c r="P138" s="35"/>
      <c r="Q138" s="35"/>
      <c r="R138" s="26" t="str">
        <f>IF(I134&lt;B134,"L",IF(I134&gt;B134,"L",IF(N134&lt;B135,"L",IF(N134&gt;B135,"L",IF(L137&gt;N134,"L",IF((N135+P135*0.1+Q135*0.01+R135*0.001)*N134+L137*0.001=I134,"J","L"))))))</f>
        <v>L</v>
      </c>
    </row>
    <row r="139" spans="1:24" ht="20.25">
      <c r="I139" s="29" t="s">
        <v>97</v>
      </c>
      <c r="N139" s="40"/>
      <c r="P139" s="35"/>
      <c r="Q139" s="35"/>
      <c r="R139" s="35"/>
      <c r="S139" s="35"/>
    </row>
    <row r="140" spans="1:24" ht="20.25">
      <c r="A140" s="60"/>
      <c r="B140" s="60"/>
      <c r="C140" s="60"/>
      <c r="D140" s="60"/>
      <c r="E140" s="60"/>
      <c r="F140" s="60"/>
      <c r="G140" s="65" t="s">
        <v>103</v>
      </c>
      <c r="H140" s="60"/>
      <c r="I140" s="60"/>
      <c r="J140" s="60"/>
      <c r="K140" s="60"/>
      <c r="L140" s="60"/>
      <c r="M140" s="60"/>
      <c r="N140" s="62"/>
      <c r="O140" s="60"/>
      <c r="P140" s="61"/>
      <c r="Q140" s="61"/>
      <c r="R140" s="61"/>
      <c r="S140" s="60"/>
      <c r="T140" s="60"/>
      <c r="U140" s="60"/>
      <c r="V140" s="60"/>
      <c r="W140" s="60"/>
      <c r="X140" s="60"/>
    </row>
    <row r="141" spans="1:24" ht="51" customHeight="1">
      <c r="D141" s="19"/>
    </row>
    <row r="142" spans="1:24" s="23" customFormat="1" ht="23.25" thickBot="1">
      <c r="A142" s="23" t="s">
        <v>57</v>
      </c>
      <c r="B142" s="30">
        <v>2</v>
      </c>
      <c r="C142" s="29"/>
      <c r="D142" s="229">
        <f>N143+P143*0.1+Q143*0.01+R143*0.001</f>
        <v>0</v>
      </c>
      <c r="E142" s="17" t="str">
        <f>IF(D142=1,"L",IF(D142&gt;1,"L",IF(D142&lt;(B142/B143)-0.001,"L",IF(D142=(N143+P143*0.1+Q143*0.01+R143*0.001),"J","L"))))</f>
        <v>L</v>
      </c>
      <c r="I142" s="57"/>
      <c r="J142" s="42"/>
      <c r="N142" s="58"/>
      <c r="O142" s="35"/>
      <c r="P142" s="35"/>
      <c r="Q142" s="35"/>
      <c r="S142" s="29"/>
    </row>
    <row r="143" spans="1:24" s="23" customFormat="1" ht="23.25" thickTop="1">
      <c r="B143" s="31">
        <v>9</v>
      </c>
      <c r="C143" s="29"/>
      <c r="D143" s="229"/>
      <c r="E143" s="29"/>
      <c r="I143" s="35"/>
      <c r="J143" s="49"/>
      <c r="K143" s="49"/>
      <c r="N143" s="45"/>
      <c r="O143" s="59" t="s">
        <v>86</v>
      </c>
      <c r="P143" s="46"/>
      <c r="Q143" s="48"/>
      <c r="R143" s="52"/>
      <c r="S143" s="29"/>
    </row>
    <row r="144" spans="1:24" s="23" customFormat="1" ht="22.5">
      <c r="I144" s="35"/>
      <c r="J144" s="35"/>
      <c r="K144" s="50"/>
      <c r="L144" s="50"/>
      <c r="N144" s="36"/>
      <c r="O144" s="35"/>
      <c r="P144" s="35"/>
      <c r="Q144" s="37"/>
      <c r="S144" s="29"/>
    </row>
    <row r="145" spans="1:24" ht="20.25">
      <c r="I145" s="38"/>
      <c r="J145" s="35"/>
      <c r="K145" s="35"/>
      <c r="L145" s="51"/>
      <c r="N145" s="36"/>
      <c r="O145" s="35"/>
      <c r="P145" s="35"/>
      <c r="Q145" s="35"/>
    </row>
    <row r="146" spans="1:24" ht="20.25">
      <c r="I146" s="35"/>
      <c r="N146" s="36"/>
      <c r="P146" s="35"/>
      <c r="Q146" s="35"/>
      <c r="R146" s="26" t="str">
        <f>IF(I142&lt;B142,"L",IF(I142&gt;B142,"L",IF(N142&lt;B143,"L",IF(N142&gt;B143,"L",IF(L145&gt;N142,"L",IF((N143+P143*0.1+Q143*0.01+R143*0.001)*N142+L145*0.001=I142,"J","L"))))))</f>
        <v>L</v>
      </c>
    </row>
    <row r="147" spans="1:24" ht="20.25">
      <c r="I147" s="29" t="s">
        <v>97</v>
      </c>
      <c r="N147" s="40"/>
      <c r="P147" s="35"/>
      <c r="Q147" s="35"/>
      <c r="R147" s="35"/>
      <c r="S147" s="35"/>
    </row>
    <row r="148" spans="1:24" ht="20.25">
      <c r="A148" s="60"/>
      <c r="B148" s="60"/>
      <c r="C148" s="60"/>
      <c r="D148" s="60"/>
      <c r="E148" s="60"/>
      <c r="F148" s="60"/>
      <c r="G148" s="65" t="s">
        <v>103</v>
      </c>
      <c r="H148" s="60"/>
      <c r="I148" s="60"/>
      <c r="J148" s="60"/>
      <c r="K148" s="60"/>
      <c r="L148" s="60"/>
      <c r="M148" s="60"/>
      <c r="N148" s="62"/>
      <c r="O148" s="60"/>
      <c r="P148" s="61"/>
      <c r="Q148" s="61"/>
      <c r="R148" s="61"/>
      <c r="S148" s="60"/>
      <c r="T148" s="60"/>
      <c r="U148" s="60"/>
      <c r="V148" s="60"/>
      <c r="W148" s="60"/>
      <c r="X148" s="60"/>
    </row>
    <row r="149" spans="1:24" ht="53.25" customHeight="1">
      <c r="D149" s="19"/>
    </row>
    <row r="150" spans="1:24" s="23" customFormat="1" ht="23.25" thickBot="1">
      <c r="A150" s="23" t="s">
        <v>58</v>
      </c>
      <c r="B150" s="30">
        <v>5</v>
      </c>
      <c r="C150" s="29"/>
      <c r="D150" s="229">
        <f>N151+P151*0.1+Q151*0.01+R151*0.001</f>
        <v>0</v>
      </c>
      <c r="E150" s="17" t="str">
        <f>IF(D150=1,"L",IF(D150&gt;1,"L",IF(D150&lt;(B150/B151)-0.001,"L",IF(D150=(N151+P151*0.1+Q151*0.01+R151*0.001),"J","L"))))</f>
        <v>L</v>
      </c>
      <c r="I150" s="57"/>
      <c r="J150" s="42"/>
      <c r="N150" s="58"/>
      <c r="O150" s="35"/>
      <c r="P150" s="35"/>
      <c r="Q150" s="35"/>
      <c r="S150" s="29"/>
    </row>
    <row r="151" spans="1:24" s="23" customFormat="1" ht="23.25" thickTop="1">
      <c r="B151" s="31">
        <v>6</v>
      </c>
      <c r="C151" s="29"/>
      <c r="D151" s="229"/>
      <c r="E151" s="29"/>
      <c r="I151" s="35"/>
      <c r="J151" s="49"/>
      <c r="K151" s="49"/>
      <c r="N151" s="45"/>
      <c r="O151" s="59" t="s">
        <v>86</v>
      </c>
      <c r="P151" s="46"/>
      <c r="Q151" s="48"/>
      <c r="R151" s="52"/>
      <c r="S151" s="29"/>
    </row>
    <row r="152" spans="1:24" s="23" customFormat="1" ht="22.5">
      <c r="I152" s="35"/>
      <c r="J152" s="35"/>
      <c r="K152" s="50"/>
      <c r="L152" s="50"/>
      <c r="N152" s="36"/>
      <c r="O152" s="35"/>
      <c r="P152" s="35"/>
      <c r="Q152" s="37"/>
      <c r="S152" s="29"/>
    </row>
    <row r="153" spans="1:24" ht="20.25">
      <c r="I153" s="38"/>
      <c r="J153" s="35"/>
      <c r="K153" s="35"/>
      <c r="L153" s="51"/>
      <c r="N153" s="36"/>
      <c r="O153" s="35"/>
      <c r="P153" s="35"/>
      <c r="Q153" s="35"/>
    </row>
    <row r="154" spans="1:24" ht="20.25">
      <c r="I154" s="35"/>
      <c r="N154" s="36"/>
      <c r="P154" s="35"/>
      <c r="Q154" s="35"/>
      <c r="R154" s="26" t="str">
        <f>IF(I150&lt;B150,"L",IF(I150&gt;B150,"L",IF(N150&lt;B151,"L",IF(N150&gt;B151,"L",IF(L153&gt;N150,"L",IF((N151+P151*0.1+Q151*0.01+R151*0.001)*N150+L153*0.001=I150,"J","L"))))))</f>
        <v>L</v>
      </c>
    </row>
    <row r="155" spans="1:24" ht="20.25">
      <c r="I155" s="29" t="s">
        <v>97</v>
      </c>
      <c r="N155" s="40"/>
      <c r="P155" s="35"/>
      <c r="Q155" s="35"/>
      <c r="R155" s="35"/>
      <c r="S155" s="35"/>
    </row>
    <row r="156" spans="1:24" ht="20.25">
      <c r="A156" s="60"/>
      <c r="B156" s="60"/>
      <c r="C156" s="60"/>
      <c r="D156" s="60"/>
      <c r="E156" s="60"/>
      <c r="F156" s="60"/>
      <c r="G156" s="65" t="s">
        <v>103</v>
      </c>
      <c r="H156" s="60"/>
      <c r="I156" s="60"/>
      <c r="J156" s="60"/>
      <c r="K156" s="60"/>
      <c r="L156" s="60"/>
      <c r="M156" s="60"/>
      <c r="N156" s="62"/>
      <c r="O156" s="60"/>
      <c r="P156" s="61"/>
      <c r="Q156" s="61"/>
      <c r="R156" s="61"/>
      <c r="S156" s="60"/>
      <c r="T156" s="60"/>
      <c r="U156" s="60"/>
      <c r="V156" s="60"/>
      <c r="W156" s="60"/>
      <c r="X156" s="60"/>
    </row>
    <row r="157" spans="1:24" ht="51.75" customHeight="1">
      <c r="D157" s="19"/>
    </row>
    <row r="158" spans="1:24" s="23" customFormat="1" ht="23.25" thickBot="1">
      <c r="A158" s="23" t="s">
        <v>60</v>
      </c>
      <c r="B158" s="30">
        <v>2</v>
      </c>
      <c r="C158" s="29"/>
      <c r="D158" s="229">
        <f>N159+P159*0.1+Q159*0.01+R159*0.001</f>
        <v>0</v>
      </c>
      <c r="E158" s="17" t="str">
        <f>IF(D158=1,"L",IF(D158&gt;1,"L",IF(D158&lt;(B158/B159)-0.001,"L",IF(D158=(N159+P159*0.1+Q159*0.01+R159*0.001),"J","L"))))</f>
        <v>L</v>
      </c>
      <c r="I158" s="57"/>
      <c r="J158" s="42"/>
      <c r="N158" s="58"/>
      <c r="O158" s="35"/>
      <c r="P158" s="35"/>
      <c r="Q158" s="35"/>
      <c r="S158" s="29"/>
    </row>
    <row r="159" spans="1:24" s="23" customFormat="1" ht="23.25" thickTop="1">
      <c r="B159" s="31">
        <v>11</v>
      </c>
      <c r="C159" s="29"/>
      <c r="D159" s="229"/>
      <c r="E159" s="29"/>
      <c r="I159" s="35"/>
      <c r="J159" s="49"/>
      <c r="K159" s="49"/>
      <c r="N159" s="45"/>
      <c r="O159" s="59" t="s">
        <v>86</v>
      </c>
      <c r="P159" s="46"/>
      <c r="Q159" s="48"/>
      <c r="R159" s="52"/>
      <c r="S159" s="29"/>
    </row>
    <row r="160" spans="1:24" s="23" customFormat="1" ht="22.5">
      <c r="I160" s="35"/>
      <c r="J160" s="35"/>
      <c r="K160" s="50"/>
      <c r="L160" s="50"/>
      <c r="N160" s="36"/>
      <c r="O160" s="35"/>
      <c r="P160" s="35"/>
      <c r="Q160" s="37"/>
      <c r="S160" s="29"/>
    </row>
    <row r="161" spans="1:24" ht="20.25">
      <c r="I161" s="38"/>
      <c r="J161" s="35"/>
      <c r="K161" s="35"/>
      <c r="L161" s="51"/>
      <c r="N161" s="36"/>
      <c r="O161" s="35"/>
      <c r="P161" s="35"/>
      <c r="Q161" s="35"/>
    </row>
    <row r="162" spans="1:24" ht="20.25">
      <c r="I162" s="35"/>
      <c r="N162" s="36"/>
      <c r="P162" s="35"/>
      <c r="Q162" s="35"/>
      <c r="R162" s="26" t="str">
        <f>IF(I158&lt;B158,"L",IF(I158&gt;B158,"L",IF(N158&lt;B159,"L",IF(N158&gt;B159,"L",IF(L161&gt;N158,"L",IF((N159+P159*0.1+Q159*0.01+R159*0.001)*N158+L161*0.001=I158,"J","L"))))))</f>
        <v>L</v>
      </c>
    </row>
    <row r="163" spans="1:24" ht="20.25">
      <c r="I163" s="29" t="s">
        <v>97</v>
      </c>
      <c r="N163" s="40"/>
      <c r="P163" s="35"/>
      <c r="Q163" s="35"/>
      <c r="R163" s="35"/>
      <c r="S163" s="35"/>
    </row>
    <row r="164" spans="1:24" ht="20.25">
      <c r="A164" s="60"/>
      <c r="B164" s="60"/>
      <c r="C164" s="60"/>
      <c r="D164" s="60"/>
      <c r="E164" s="60"/>
      <c r="F164" s="60"/>
      <c r="G164" s="65" t="s">
        <v>103</v>
      </c>
      <c r="H164" s="60"/>
      <c r="I164" s="60"/>
      <c r="J164" s="60"/>
      <c r="K164" s="60"/>
      <c r="L164" s="60"/>
      <c r="M164" s="60"/>
      <c r="N164" s="62"/>
      <c r="O164" s="60"/>
      <c r="P164" s="61"/>
      <c r="Q164" s="61"/>
      <c r="R164" s="61"/>
      <c r="S164" s="60"/>
      <c r="T164" s="60"/>
      <c r="U164" s="60"/>
      <c r="V164" s="60"/>
      <c r="W164" s="60"/>
      <c r="X164" s="60"/>
    </row>
    <row r="165" spans="1:24" ht="53.25" customHeight="1">
      <c r="D165" s="19"/>
    </row>
    <row r="166" spans="1:24" s="23" customFormat="1" ht="23.25" thickBot="1">
      <c r="A166" s="23" t="s">
        <v>61</v>
      </c>
      <c r="B166" s="30">
        <v>5</v>
      </c>
      <c r="C166" s="29"/>
      <c r="D166" s="229">
        <f>N167+P167*0.1+Q167*0.01+R167*0.001</f>
        <v>0</v>
      </c>
      <c r="E166" s="17" t="str">
        <f>IF(D166=1,"L",IF(D166&gt;1,"L",IF(D166&lt;(B166/B167)-0.001,"L",IF(D166=(N167+P167*0.1+Q167*0.01+R167*0.001),"J","L"))))</f>
        <v>L</v>
      </c>
      <c r="I166" s="57"/>
      <c r="J166" s="42"/>
      <c r="N166" s="58"/>
      <c r="O166" s="35"/>
      <c r="P166" s="35"/>
      <c r="Q166" s="35"/>
      <c r="S166" s="29"/>
    </row>
    <row r="167" spans="1:24" s="23" customFormat="1" ht="23.25" thickTop="1">
      <c r="B167" s="31">
        <v>12</v>
      </c>
      <c r="C167" s="29"/>
      <c r="D167" s="229"/>
      <c r="E167" s="29"/>
      <c r="I167" s="35"/>
      <c r="J167" s="49"/>
      <c r="K167" s="49"/>
      <c r="N167" s="45"/>
      <c r="O167" s="59" t="s">
        <v>86</v>
      </c>
      <c r="P167" s="46"/>
      <c r="Q167" s="48"/>
      <c r="R167" s="52"/>
      <c r="S167" s="29"/>
    </row>
    <row r="168" spans="1:24" s="23" customFormat="1" ht="22.5">
      <c r="I168" s="35"/>
      <c r="J168" s="35"/>
      <c r="K168" s="50"/>
      <c r="L168" s="50"/>
      <c r="N168" s="36"/>
      <c r="O168" s="35"/>
      <c r="P168" s="35"/>
      <c r="Q168" s="37"/>
      <c r="S168" s="29"/>
    </row>
    <row r="169" spans="1:24" ht="20.25">
      <c r="I169" s="38"/>
      <c r="J169" s="35"/>
      <c r="K169" s="35"/>
      <c r="L169" s="51"/>
      <c r="N169" s="36"/>
      <c r="O169" s="35"/>
      <c r="P169" s="35"/>
      <c r="Q169" s="35"/>
    </row>
    <row r="170" spans="1:24" ht="20.25">
      <c r="I170" s="35"/>
      <c r="N170" s="36"/>
      <c r="P170" s="35"/>
      <c r="Q170" s="35"/>
      <c r="R170" s="26" t="str">
        <f>IF(I166&lt;B166,"L",IF(I166&gt;B166,"L",IF(N166&lt;B167,"L",IF(N166&gt;B167,"L",IF(L169&gt;N166,"L",IF((N167+P167*0.1+Q167*0.01+R167*0.001)*N166+L169*0.001=I166,"J","L"))))))</f>
        <v>L</v>
      </c>
    </row>
    <row r="171" spans="1:24" ht="20.25">
      <c r="I171" s="29" t="s">
        <v>97</v>
      </c>
      <c r="N171" s="40"/>
      <c r="P171" s="35"/>
      <c r="Q171" s="35"/>
      <c r="R171" s="35"/>
      <c r="S171" s="35"/>
    </row>
    <row r="172" spans="1:24" ht="20.25">
      <c r="A172" s="60"/>
      <c r="B172" s="60"/>
      <c r="C172" s="60"/>
      <c r="D172" s="60"/>
      <c r="E172" s="60"/>
      <c r="F172" s="60"/>
      <c r="G172" s="65" t="s">
        <v>103</v>
      </c>
      <c r="H172" s="60"/>
      <c r="I172" s="60"/>
      <c r="J172" s="60"/>
      <c r="K172" s="60"/>
      <c r="L172" s="60"/>
      <c r="M172" s="60"/>
      <c r="N172" s="62"/>
      <c r="O172" s="60"/>
      <c r="P172" s="61"/>
      <c r="Q172" s="61"/>
      <c r="R172" s="61"/>
      <c r="S172" s="60"/>
      <c r="T172" s="60"/>
      <c r="U172" s="60"/>
      <c r="V172" s="60"/>
      <c r="W172" s="60"/>
      <c r="X172" s="60"/>
    </row>
    <row r="173" spans="1:24" ht="51" customHeight="1">
      <c r="D173" s="19"/>
    </row>
    <row r="174" spans="1:24" s="23" customFormat="1" ht="23.25" thickBot="1">
      <c r="A174" s="23" t="s">
        <v>62</v>
      </c>
      <c r="B174" s="30">
        <v>2</v>
      </c>
      <c r="C174" s="29"/>
      <c r="D174" s="229">
        <f>N175+P175*0.1+Q175*0.01+R175*0.001</f>
        <v>0</v>
      </c>
      <c r="E174" s="17" t="str">
        <f>IF(D174=1,"L",IF(D174&gt;1,"L",IF(D174&lt;(B174/B175)-0.001,"L",IF(D174=(N175+P175*0.1+Q175*0.01+R175*0.001),"J","L"))))</f>
        <v>L</v>
      </c>
      <c r="I174" s="57"/>
      <c r="J174" s="42"/>
      <c r="N174" s="58"/>
      <c r="O174" s="35"/>
      <c r="P174" s="35"/>
      <c r="Q174" s="35"/>
      <c r="S174" s="29"/>
    </row>
    <row r="175" spans="1:24" s="23" customFormat="1" ht="23.25" thickTop="1">
      <c r="B175" s="31">
        <v>13</v>
      </c>
      <c r="C175" s="29"/>
      <c r="D175" s="229"/>
      <c r="E175" s="29"/>
      <c r="I175" s="35"/>
      <c r="J175" s="49"/>
      <c r="K175" s="49"/>
      <c r="N175" s="45"/>
      <c r="O175" s="59" t="s">
        <v>86</v>
      </c>
      <c r="P175" s="46"/>
      <c r="Q175" s="48"/>
      <c r="R175" s="52"/>
      <c r="S175" s="29"/>
    </row>
    <row r="176" spans="1:24" s="23" customFormat="1" ht="22.5">
      <c r="I176" s="35"/>
      <c r="J176" s="35"/>
      <c r="K176" s="50"/>
      <c r="L176" s="50"/>
      <c r="N176" s="36"/>
      <c r="O176" s="35"/>
      <c r="P176" s="35"/>
      <c r="Q176" s="37"/>
      <c r="S176" s="29"/>
    </row>
    <row r="177" spans="1:24" ht="20.25">
      <c r="I177" s="38"/>
      <c r="J177" s="35"/>
      <c r="K177" s="35"/>
      <c r="L177" s="66"/>
      <c r="N177" s="36"/>
      <c r="O177" s="35"/>
      <c r="P177" s="35"/>
      <c r="Q177" s="35"/>
    </row>
    <row r="178" spans="1:24" ht="20.25">
      <c r="I178" s="35"/>
      <c r="N178" s="36"/>
      <c r="P178" s="35"/>
      <c r="Q178" s="35"/>
      <c r="R178" s="26" t="str">
        <f>IF(I174&lt;B174,"L",IF(I174&gt;B174,"L",IF(N174&lt;B175,"L",IF(N174&gt;B175,"L",IF(L177&gt;N174,"L",IF((N175+P175*0.1+Q175*0.01+R175*0.001)*N174+L177*0.001=I174,"J","L"))))))</f>
        <v>L</v>
      </c>
    </row>
    <row r="179" spans="1:24" ht="20.25">
      <c r="I179" s="29" t="s">
        <v>97</v>
      </c>
      <c r="P179" s="35"/>
      <c r="Q179" s="35"/>
      <c r="R179" s="35"/>
      <c r="S179" s="35"/>
    </row>
    <row r="180" spans="1:24" ht="20.25">
      <c r="A180" s="60"/>
      <c r="B180" s="60"/>
      <c r="C180" s="60"/>
      <c r="D180" s="60"/>
      <c r="E180" s="60"/>
      <c r="F180" s="60"/>
      <c r="G180" s="65" t="s">
        <v>103</v>
      </c>
      <c r="H180" s="60"/>
      <c r="I180" s="60"/>
      <c r="J180" s="60"/>
      <c r="K180" s="60"/>
      <c r="L180" s="60"/>
      <c r="M180" s="60"/>
      <c r="N180" s="62"/>
      <c r="O180" s="60"/>
      <c r="P180" s="61"/>
      <c r="Q180" s="61"/>
      <c r="R180" s="61"/>
      <c r="S180" s="60"/>
      <c r="T180" s="60"/>
      <c r="U180" s="60"/>
      <c r="V180" s="60"/>
      <c r="W180" s="60"/>
      <c r="X180" s="60"/>
    </row>
    <row r="181" spans="1:24" ht="53.25" customHeight="1">
      <c r="D181" s="19"/>
    </row>
    <row r="182" spans="1:24" s="23" customFormat="1" ht="23.25" thickBot="1">
      <c r="A182" s="23" t="s">
        <v>63</v>
      </c>
      <c r="B182" s="30">
        <v>6</v>
      </c>
      <c r="C182" s="29"/>
      <c r="D182" s="229">
        <f>N183+P183*0.1+Q183*0.01+R183*0.001</f>
        <v>0</v>
      </c>
      <c r="E182" s="17" t="str">
        <f>IF(D182=1,"L",IF(D182&gt;1,"L",IF(D182&lt;(B182/B183)-0.001,"L",IF(D182=(N183+P183*0.1+Q183*0.01+R183*0.001),"J","L"))))</f>
        <v>L</v>
      </c>
      <c r="I182" s="57"/>
      <c r="J182" s="42"/>
      <c r="N182" s="58"/>
      <c r="O182" s="35"/>
      <c r="P182" s="35"/>
      <c r="Q182" s="35"/>
      <c r="S182" s="29"/>
    </row>
    <row r="183" spans="1:24" s="23" customFormat="1" ht="23.25" thickTop="1">
      <c r="B183" s="31">
        <v>7</v>
      </c>
      <c r="C183" s="29"/>
      <c r="D183" s="229"/>
      <c r="E183" s="29"/>
      <c r="I183" s="35"/>
      <c r="J183" s="49"/>
      <c r="K183" s="49"/>
      <c r="N183" s="45"/>
      <c r="O183" s="59" t="s">
        <v>86</v>
      </c>
      <c r="P183" s="46"/>
      <c r="Q183" s="48"/>
      <c r="R183" s="52"/>
      <c r="S183" s="29"/>
    </row>
    <row r="184" spans="1:24" s="23" customFormat="1" ht="22.5">
      <c r="I184" s="35"/>
      <c r="J184" s="35"/>
      <c r="K184" s="50"/>
      <c r="L184" s="50"/>
      <c r="N184" s="36"/>
      <c r="O184" s="35"/>
      <c r="P184" s="35"/>
      <c r="Q184" s="37"/>
      <c r="S184" s="29"/>
    </row>
    <row r="185" spans="1:24" ht="20.25">
      <c r="I185" s="38"/>
      <c r="J185" s="35"/>
      <c r="K185" s="35"/>
      <c r="L185" s="51"/>
      <c r="N185" s="36"/>
      <c r="O185" s="35"/>
      <c r="P185" s="35"/>
      <c r="Q185" s="35"/>
    </row>
    <row r="186" spans="1:24" ht="20.25">
      <c r="I186" s="35"/>
      <c r="N186" s="36"/>
      <c r="P186" s="35"/>
      <c r="Q186" s="35"/>
      <c r="R186" s="26" t="str">
        <f>IF(I182&lt;B182,"L",IF(I182&gt;B182,"L",IF(N182&lt;B183,"L",IF(N182&gt;B183,"L",IF(L185&gt;N182,"L",IF((N183+P183*0.1+Q183*0.01+R183*0.001)*N182+L185*0.001=I182,"J","L"))))))</f>
        <v>L</v>
      </c>
    </row>
    <row r="187" spans="1:24" ht="20.25">
      <c r="I187" s="29" t="s">
        <v>97</v>
      </c>
      <c r="N187" s="40"/>
      <c r="P187" s="35"/>
      <c r="Q187" s="35"/>
      <c r="R187" s="35"/>
      <c r="S187" s="35"/>
    </row>
    <row r="188" spans="1:24" ht="20.25">
      <c r="A188" s="60"/>
      <c r="B188" s="60"/>
      <c r="C188" s="60"/>
      <c r="D188" s="60"/>
      <c r="E188" s="60"/>
      <c r="F188" s="60"/>
      <c r="G188" s="65" t="s">
        <v>103</v>
      </c>
      <c r="H188" s="60"/>
      <c r="I188" s="60"/>
      <c r="J188" s="60"/>
      <c r="K188" s="60"/>
      <c r="L188" s="60"/>
      <c r="M188" s="60"/>
      <c r="N188" s="62"/>
      <c r="O188" s="60"/>
      <c r="P188" s="61"/>
      <c r="Q188" s="61"/>
      <c r="R188" s="61"/>
      <c r="S188" s="60"/>
      <c r="T188" s="60"/>
      <c r="U188" s="60"/>
      <c r="V188" s="60"/>
      <c r="W188" s="60"/>
      <c r="X188" s="60"/>
    </row>
    <row r="189" spans="1:24" ht="52.5" customHeight="1">
      <c r="D189" s="19"/>
    </row>
    <row r="190" spans="1:24" s="23" customFormat="1" ht="23.25" thickBot="1">
      <c r="A190" s="23" t="s">
        <v>64</v>
      </c>
      <c r="B190" s="30">
        <v>1</v>
      </c>
      <c r="C190" s="29"/>
      <c r="D190" s="229">
        <f>N191+P191*0.1+Q191*0.01+R191*0.001</f>
        <v>0</v>
      </c>
      <c r="E190" s="17" t="str">
        <f>IF(D190=1,"L",IF(D190&gt;1,"L",IF(D190&lt;(B190/B191)-0.001,"L",IF(D190=(N191+P191*0.1+Q191*0.01+R191*0.001),"J","L"))))</f>
        <v>L</v>
      </c>
      <c r="H190" s="57"/>
      <c r="I190" s="42"/>
      <c r="J190" s="42"/>
      <c r="N190" s="58"/>
      <c r="O190" s="35"/>
      <c r="P190" s="35"/>
      <c r="Q190" s="35"/>
      <c r="S190" s="29"/>
    </row>
    <row r="191" spans="1:24" s="23" customFormat="1" ht="23.25" thickTop="1">
      <c r="B191" s="31">
        <v>12</v>
      </c>
      <c r="C191" s="29"/>
      <c r="D191" s="229"/>
      <c r="E191" s="29"/>
      <c r="J191" s="49"/>
      <c r="K191" s="49"/>
      <c r="N191" s="45"/>
      <c r="O191" s="59" t="s">
        <v>86</v>
      </c>
      <c r="P191" s="46"/>
      <c r="Q191" s="48"/>
      <c r="R191" s="52"/>
      <c r="S191" s="29"/>
    </row>
    <row r="192" spans="1:24" s="23" customFormat="1" ht="22.5">
      <c r="H192" s="35"/>
      <c r="I192" s="35"/>
      <c r="K192" s="50"/>
      <c r="L192" s="50"/>
      <c r="N192" s="36"/>
      <c r="O192" s="35"/>
      <c r="P192" s="35"/>
      <c r="Q192" s="37"/>
      <c r="S192" s="29"/>
    </row>
    <row r="193" spans="1:37" ht="20.25">
      <c r="H193" s="38"/>
      <c r="I193" s="35"/>
      <c r="K193" s="35"/>
      <c r="L193" s="51"/>
      <c r="N193" s="36"/>
      <c r="O193" s="35"/>
      <c r="P193" s="35"/>
      <c r="Q193" s="35"/>
    </row>
    <row r="194" spans="1:37" ht="20.25">
      <c r="I194" s="35"/>
      <c r="N194" s="36"/>
      <c r="P194" s="35"/>
      <c r="Q194" s="35"/>
      <c r="R194" s="26" t="str">
        <f>IF(H190&lt;B190,"L",IF(H190&gt;B190,"L",IF(N190&lt;B191,"L",IF(N190&gt;B191,"L",IF(L193&gt;N190,"L",IF((N191+P191*0.1+Q191*0.01+R191*0.001)*N190+L193*0.001=H190,"J","L"))))))</f>
        <v>L</v>
      </c>
    </row>
    <row r="195" spans="1:37" ht="20.25">
      <c r="I195" s="29" t="s">
        <v>97</v>
      </c>
      <c r="N195" s="40"/>
      <c r="P195" s="35"/>
      <c r="Q195" s="35"/>
      <c r="R195" s="35"/>
      <c r="S195" s="35"/>
    </row>
    <row r="196" spans="1:37" ht="21" thickBot="1">
      <c r="A196" s="60"/>
      <c r="B196" s="60"/>
      <c r="C196" s="60"/>
      <c r="D196" s="60"/>
      <c r="E196" s="60"/>
      <c r="F196" s="60"/>
      <c r="G196" s="65" t="s">
        <v>103</v>
      </c>
      <c r="H196" s="60"/>
      <c r="I196" s="60"/>
      <c r="J196" s="60"/>
      <c r="K196" s="60"/>
      <c r="L196" s="60"/>
      <c r="M196" s="60"/>
      <c r="N196" s="62"/>
      <c r="O196" s="60"/>
      <c r="P196" s="61"/>
      <c r="Q196" s="61"/>
      <c r="R196" s="61"/>
      <c r="S196" s="60"/>
      <c r="T196" s="60"/>
      <c r="U196" s="60"/>
      <c r="V196" s="60"/>
      <c r="W196" s="60"/>
      <c r="X196" s="60"/>
    </row>
    <row r="197" spans="1:37" ht="42.75" customHeight="1" thickTop="1" thickBot="1">
      <c r="A197" s="16"/>
      <c r="B197" s="16"/>
      <c r="C197" s="16"/>
      <c r="D197" s="16"/>
      <c r="E197" s="16"/>
      <c r="F197" s="89">
        <f>F199*10</f>
        <v>0</v>
      </c>
      <c r="G197" s="90" t="s">
        <v>102</v>
      </c>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row>
    <row r="198" spans="1:37" ht="13.5" customHeight="1" thickTop="1" thickBo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row>
    <row r="199" spans="1:37" s="16" customFormat="1" ht="22.5" customHeight="1" thickTop="1" thickBot="1">
      <c r="D199" s="24" t="s">
        <v>104</v>
      </c>
      <c r="F199" s="88">
        <f>COUNTIF(E118:E191,"J")</f>
        <v>0</v>
      </c>
      <c r="G199" s="24" t="s">
        <v>105</v>
      </c>
    </row>
    <row r="200" spans="1:37" s="16" customFormat="1" ht="15.75" thickTop="1"/>
    <row r="201" spans="1:37" ht="59.25" customHeight="1">
      <c r="A201" s="47"/>
      <c r="B201" s="47"/>
      <c r="C201" s="47"/>
      <c r="D201" s="47"/>
      <c r="E201" s="47"/>
      <c r="F201" s="47"/>
      <c r="G201" s="47"/>
      <c r="H201" s="43"/>
      <c r="I201" s="43"/>
      <c r="J201" s="44"/>
      <c r="K201" s="53"/>
      <c r="L201" s="43"/>
      <c r="M201" s="43"/>
      <c r="N201" s="43"/>
      <c r="O201" s="43"/>
      <c r="P201" s="47"/>
      <c r="Q201" s="47"/>
      <c r="R201" s="47"/>
      <c r="S201" s="47"/>
      <c r="T201" s="47"/>
      <c r="U201" s="47"/>
      <c r="V201" s="47"/>
      <c r="W201" s="47"/>
    </row>
    <row r="202" spans="1:37">
      <c r="A202" s="29" t="s">
        <v>108</v>
      </c>
      <c r="D202" s="19"/>
    </row>
    <row r="203" spans="1:37">
      <c r="A203" s="29" t="s">
        <v>94</v>
      </c>
      <c r="D203" s="19"/>
    </row>
    <row r="204" spans="1:37">
      <c r="A204" s="29" t="s">
        <v>106</v>
      </c>
      <c r="D204" s="19"/>
    </row>
    <row r="205" spans="1:37" s="16" customFormat="1">
      <c r="A205" s="29" t="s">
        <v>107</v>
      </c>
    </row>
    <row r="206" spans="1:37" s="16" customFormat="1" ht="15"/>
    <row r="207" spans="1:37" ht="31.5" customHeight="1">
      <c r="A207" s="29" t="s">
        <v>67</v>
      </c>
    </row>
    <row r="208" spans="1:37" ht="20.25" customHeight="1" thickBot="1">
      <c r="B208" s="30">
        <v>3</v>
      </c>
      <c r="D208" s="54">
        <v>1</v>
      </c>
      <c r="F208" s="15">
        <v>5</v>
      </c>
      <c r="H208" s="225">
        <v>0.5</v>
      </c>
      <c r="I208" s="17" t="str">
        <f>IF(H208="","",IF(H208=D208/D209,"J"))</f>
        <v>J</v>
      </c>
    </row>
    <row r="209" spans="1:32" ht="20.25" customHeight="1" thickTop="1">
      <c r="B209" s="31">
        <v>6</v>
      </c>
      <c r="D209" s="55">
        <v>2</v>
      </c>
      <c r="F209" s="32">
        <v>10</v>
      </c>
      <c r="H209" s="225"/>
    </row>
    <row r="210" spans="1:32">
      <c r="B210" s="56"/>
      <c r="D210" s="91" t="str">
        <f>IF(D208="","",IF(D209="","",IF(D208/D209=B208/B209,"J","L")))</f>
        <v>J</v>
      </c>
      <c r="F210" s="19" t="str">
        <f>IF(F209="","",IF(F208="","",IF(F208/F209=D208/D209,"J","L")))</f>
        <v>J</v>
      </c>
    </row>
    <row r="211" spans="1:32" s="16" customFormat="1" ht="15">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row>
    <row r="212" spans="1:32" s="16" customFormat="1" ht="15"/>
    <row r="213" spans="1:32" s="16" customFormat="1" ht="20.25" thickBot="1">
      <c r="A213" s="29" t="s">
        <v>54</v>
      </c>
      <c r="B213" s="30">
        <v>4</v>
      </c>
      <c r="C213" s="29"/>
      <c r="D213" s="15"/>
      <c r="E213" s="29"/>
      <c r="F213" s="15"/>
      <c r="G213" s="29"/>
      <c r="H213" s="225"/>
      <c r="I213" s="17" t="str">
        <f>IF(H213="","",IF(H213=D213/D214,"J","L"))</f>
        <v/>
      </c>
    </row>
    <row r="214" spans="1:32" s="16" customFormat="1" ht="20.25" thickTop="1">
      <c r="B214" s="31">
        <v>8</v>
      </c>
      <c r="C214" s="29"/>
      <c r="D214" s="32"/>
      <c r="E214" s="29"/>
      <c r="F214" s="32"/>
      <c r="G214" s="29"/>
      <c r="H214" s="225"/>
      <c r="I214" s="29"/>
    </row>
    <row r="215" spans="1:32" s="16" customFormat="1">
      <c r="B215" s="56"/>
      <c r="C215" s="29"/>
      <c r="D215" s="91" t="str">
        <f>IF(D213="","",IF(D214="","",IF(D213/D214=B213/B214,"J","L")))</f>
        <v/>
      </c>
      <c r="E215" s="29"/>
      <c r="F215" s="19" t="str">
        <f>IF(F214="","",IF(F213="","",IF(F213/F214=D213/D214,"J","L")))</f>
        <v/>
      </c>
      <c r="G215" s="29"/>
      <c r="H215" s="29"/>
      <c r="I215" s="29"/>
    </row>
    <row r="216" spans="1:32" s="16" customFormat="1" ht="15"/>
    <row r="217" spans="1:32" s="16" customFormat="1" ht="20.25" thickBot="1">
      <c r="A217" s="29" t="s">
        <v>55</v>
      </c>
      <c r="B217" s="30">
        <v>4</v>
      </c>
      <c r="C217" s="29"/>
      <c r="D217" s="15"/>
      <c r="E217" s="29"/>
      <c r="F217" s="15"/>
      <c r="G217" s="29"/>
      <c r="H217" s="226"/>
      <c r="I217" s="17" t="str">
        <f>IF(H217="","",IF(H217=D217/D218,"J","L"))</f>
        <v/>
      </c>
    </row>
    <row r="218" spans="1:32" s="16" customFormat="1" ht="20.25" thickTop="1">
      <c r="B218" s="31">
        <v>16</v>
      </c>
      <c r="C218" s="29"/>
      <c r="D218" s="32"/>
      <c r="E218" s="29"/>
      <c r="F218" s="32"/>
      <c r="G218" s="29"/>
      <c r="H218" s="226"/>
      <c r="I218" s="29"/>
    </row>
    <row r="219" spans="1:32" s="16" customFormat="1">
      <c r="B219" s="56"/>
      <c r="C219" s="29"/>
      <c r="D219" s="91" t="str">
        <f>IF(D217="","",IF(D218="","",IF(D217/D218=B217/B218,"J","L")))</f>
        <v/>
      </c>
      <c r="E219" s="29"/>
      <c r="F219" s="19" t="str">
        <f>IF(F218="","",IF(F217="","",IF(F217/F218=D217/D218,"J","L")))</f>
        <v/>
      </c>
      <c r="G219" s="29"/>
      <c r="H219" s="29"/>
      <c r="I219" s="29"/>
    </row>
    <row r="220" spans="1:32" s="16" customFormat="1" ht="15"/>
    <row r="221" spans="1:32" s="16" customFormat="1" ht="20.25" thickBot="1">
      <c r="A221" s="29" t="s">
        <v>56</v>
      </c>
      <c r="B221" s="30">
        <v>9</v>
      </c>
      <c r="C221" s="29"/>
      <c r="D221" s="15"/>
      <c r="E221" s="29"/>
      <c r="F221" s="15"/>
      <c r="G221" s="29"/>
      <c r="H221" s="225"/>
      <c r="I221" s="17" t="str">
        <f>IF(H221="","",IF(H221=D221/D222,"J","L"))</f>
        <v/>
      </c>
      <c r="L221" s="16" t="s">
        <v>59</v>
      </c>
    </row>
    <row r="222" spans="1:32" s="16" customFormat="1" ht="20.25" thickTop="1">
      <c r="B222" s="31">
        <v>15</v>
      </c>
      <c r="C222" s="29"/>
      <c r="D222" s="32"/>
      <c r="E222" s="29"/>
      <c r="F222" s="32"/>
      <c r="G222" s="29"/>
      <c r="H222" s="225"/>
      <c r="I222" s="29"/>
    </row>
    <row r="223" spans="1:32" s="16" customFormat="1">
      <c r="B223" s="56"/>
      <c r="C223" s="29"/>
      <c r="D223" s="91" t="str">
        <f>IF(D221="","",IF(D222="","",IF(D221/D222=B221/B222,"J","L")))</f>
        <v/>
      </c>
      <c r="E223" s="29"/>
      <c r="F223" s="19" t="str">
        <f>IF(F222="","",IF(F221="","",IF(F221/F222=D221/D222,"J","L")))</f>
        <v/>
      </c>
      <c r="G223" s="29"/>
      <c r="H223" s="29"/>
      <c r="I223" s="29"/>
    </row>
    <row r="224" spans="1:32" s="16" customFormat="1" ht="15"/>
    <row r="225" spans="1:12" s="16" customFormat="1" ht="20.25" thickBot="1">
      <c r="A225" s="29" t="s">
        <v>57</v>
      </c>
      <c r="B225" s="30">
        <v>6</v>
      </c>
      <c r="C225" s="29"/>
      <c r="D225" s="15"/>
      <c r="E225" s="29"/>
      <c r="F225" s="15"/>
      <c r="G225" s="29"/>
      <c r="H225" s="226"/>
      <c r="I225" s="17" t="str">
        <f>IF(H225="","",IF(H225=D225/D226,"J","L"))</f>
        <v/>
      </c>
    </row>
    <row r="226" spans="1:12" s="16" customFormat="1" ht="20.25" thickTop="1">
      <c r="B226" s="31">
        <v>24</v>
      </c>
      <c r="C226" s="29"/>
      <c r="D226" s="32"/>
      <c r="E226" s="29"/>
      <c r="F226" s="32"/>
      <c r="G226" s="29"/>
      <c r="H226" s="226"/>
      <c r="I226" s="29"/>
    </row>
    <row r="227" spans="1:12" s="16" customFormat="1">
      <c r="B227" s="56"/>
      <c r="C227" s="29"/>
      <c r="D227" s="91" t="str">
        <f>IF(D225="","",IF(D226="","",IF(D225/D226=B225/B226,"J","L")))</f>
        <v/>
      </c>
      <c r="E227" s="29"/>
      <c r="F227" s="19" t="str">
        <f>IF(F226="","",IF(F225="","",IF(F225/F226=D225/D226,"J","L")))</f>
        <v/>
      </c>
      <c r="G227" s="29"/>
      <c r="H227" s="29"/>
      <c r="I227" s="29"/>
    </row>
    <row r="229" spans="1:12" s="16" customFormat="1" ht="20.25" thickBot="1">
      <c r="A229" s="29" t="s">
        <v>58</v>
      </c>
      <c r="B229" s="30">
        <v>6</v>
      </c>
      <c r="C229" s="29"/>
      <c r="D229" s="15"/>
      <c r="E229" s="29"/>
      <c r="F229" s="15"/>
      <c r="G229" s="29"/>
      <c r="H229" s="225"/>
      <c r="I229" s="17" t="str">
        <f>IF(H229="","",IF(H229=D229/D230,"J","L"))</f>
        <v/>
      </c>
    </row>
    <row r="230" spans="1:12" s="16" customFormat="1" ht="20.25" thickTop="1">
      <c r="B230" s="31">
        <v>12</v>
      </c>
      <c r="C230" s="29"/>
      <c r="D230" s="32"/>
      <c r="E230" s="29"/>
      <c r="F230" s="32"/>
      <c r="G230" s="29"/>
      <c r="H230" s="225"/>
      <c r="I230" s="29"/>
    </row>
    <row r="231" spans="1:12" s="16" customFormat="1">
      <c r="B231" s="56"/>
      <c r="C231" s="29"/>
      <c r="D231" s="91" t="str">
        <f>IF(D229="","",IF(D230="","",IF(D229/D230=B229/B230,"J","L")))</f>
        <v/>
      </c>
      <c r="E231" s="29"/>
      <c r="F231" s="19" t="str">
        <f>IF(F230="","",IF(F229="","",IF(F229/F230=D229/D230,"J","L")))</f>
        <v/>
      </c>
      <c r="G231" s="29"/>
      <c r="H231" s="29"/>
      <c r="I231" s="29"/>
    </row>
    <row r="232" spans="1:12" s="16" customFormat="1" ht="15"/>
    <row r="233" spans="1:12" s="16" customFormat="1" ht="20.25" thickBot="1">
      <c r="A233" s="29" t="s">
        <v>60</v>
      </c>
      <c r="B233" s="30">
        <v>24</v>
      </c>
      <c r="C233" s="29"/>
      <c r="D233" s="15"/>
      <c r="E233" s="29"/>
      <c r="F233" s="15"/>
      <c r="G233" s="29"/>
      <c r="H233" s="226"/>
      <c r="I233" s="17" t="str">
        <f>IF(H233="","",IF(H233=D233/D234,"J","L"))</f>
        <v/>
      </c>
      <c r="L233" s="16" t="s">
        <v>59</v>
      </c>
    </row>
    <row r="234" spans="1:12" s="16" customFormat="1" ht="20.25" thickTop="1">
      <c r="B234" s="31">
        <v>30</v>
      </c>
      <c r="C234" s="29"/>
      <c r="D234" s="32"/>
      <c r="E234" s="29"/>
      <c r="F234" s="32"/>
      <c r="G234" s="29"/>
      <c r="H234" s="226"/>
      <c r="I234" s="29"/>
    </row>
    <row r="235" spans="1:12" s="16" customFormat="1">
      <c r="B235" s="56"/>
      <c r="C235" s="29"/>
      <c r="D235" s="91" t="str">
        <f>IF(D233="","",IF(D234="","",IF(D233/D234=B233/B234,"J","L")))</f>
        <v/>
      </c>
      <c r="E235" s="29"/>
      <c r="F235" s="19" t="str">
        <f>IF(F234="","",IF(F233="","",IF(F233/F234=D233/D234,"J","L")))</f>
        <v/>
      </c>
      <c r="G235" s="29"/>
      <c r="H235" s="29"/>
      <c r="I235" s="29"/>
    </row>
    <row r="236" spans="1:12" s="16" customFormat="1" ht="15"/>
    <row r="237" spans="1:12" s="16" customFormat="1" ht="20.25" thickBot="1">
      <c r="A237" s="29" t="s">
        <v>61</v>
      </c>
      <c r="B237" s="30">
        <v>21</v>
      </c>
      <c r="C237" s="29"/>
      <c r="D237" s="15"/>
      <c r="E237" s="29"/>
      <c r="F237" s="15"/>
      <c r="G237" s="29"/>
      <c r="H237" s="225"/>
      <c r="I237" s="17" t="str">
        <f>IF(H237="","",IF(H237=D237/D238,"J","L"))</f>
        <v/>
      </c>
      <c r="L237" s="16" t="s">
        <v>59</v>
      </c>
    </row>
    <row r="238" spans="1:12" s="16" customFormat="1" ht="20.25" thickTop="1">
      <c r="B238" s="31">
        <v>35</v>
      </c>
      <c r="C238" s="29"/>
      <c r="D238" s="32"/>
      <c r="E238" s="29"/>
      <c r="F238" s="32"/>
      <c r="G238" s="29"/>
      <c r="H238" s="225"/>
      <c r="I238" s="29"/>
    </row>
    <row r="239" spans="1:12" s="16" customFormat="1">
      <c r="B239" s="56"/>
      <c r="C239" s="29"/>
      <c r="D239" s="91" t="str">
        <f>IF(D237="","",IF(D238="","",IF(D237/D238=B237/B238,"J","L")))</f>
        <v/>
      </c>
      <c r="E239" s="29"/>
      <c r="F239" s="19" t="str">
        <f>IF(F238="","",IF(F237="","",IF(F237/F238=D237/D238,"J","L")))</f>
        <v/>
      </c>
      <c r="G239" s="29"/>
      <c r="H239" s="29"/>
      <c r="I239" s="29"/>
    </row>
    <row r="240" spans="1:12" s="16" customFormat="1" ht="15"/>
    <row r="241" spans="1:37" s="16" customFormat="1" ht="20.25" thickBot="1">
      <c r="A241" s="29" t="s">
        <v>62</v>
      </c>
      <c r="B241" s="30">
        <v>2</v>
      </c>
      <c r="C241" s="29"/>
      <c r="D241" s="15"/>
      <c r="E241" s="29"/>
      <c r="F241" s="15"/>
      <c r="G241" s="29"/>
      <c r="H241" s="226"/>
      <c r="I241" s="17" t="str">
        <f>IF(H241="","",IF(H241=D241/D242,"J","L"))</f>
        <v/>
      </c>
    </row>
    <row r="242" spans="1:37" s="16" customFormat="1" ht="20.25" thickTop="1">
      <c r="B242" s="31">
        <v>8</v>
      </c>
      <c r="C242" s="29"/>
      <c r="D242" s="32"/>
      <c r="E242" s="29"/>
      <c r="F242" s="32"/>
      <c r="G242" s="29"/>
      <c r="H242" s="226"/>
      <c r="I242" s="29"/>
    </row>
    <row r="243" spans="1:37" s="16" customFormat="1">
      <c r="B243" s="56"/>
      <c r="C243" s="29"/>
      <c r="D243" s="91" t="str">
        <f>IF(D241="","",IF(D242="","",IF(D241/D242=B241/B242,"J","L")))</f>
        <v/>
      </c>
      <c r="E243" s="29"/>
      <c r="F243" s="19" t="str">
        <f>IF(F242="","",IF(F241="","",IF(F241/F242=D241/D242,"J","L")))</f>
        <v/>
      </c>
      <c r="G243" s="29"/>
      <c r="H243" s="29"/>
      <c r="I243" s="29"/>
    </row>
    <row r="245" spans="1:37" s="16" customFormat="1" ht="20.25" thickBot="1">
      <c r="A245" s="29" t="s">
        <v>63</v>
      </c>
      <c r="B245" s="30">
        <v>2</v>
      </c>
      <c r="C245" s="29"/>
      <c r="D245" s="15"/>
      <c r="E245" s="29"/>
      <c r="F245" s="15"/>
      <c r="G245" s="29"/>
      <c r="H245" s="228"/>
      <c r="I245" s="17" t="str">
        <f>IF(H245="","",IF(H245=D245/D246,"J","L"))</f>
        <v/>
      </c>
      <c r="L245" s="16" t="s">
        <v>59</v>
      </c>
    </row>
    <row r="246" spans="1:37" s="16" customFormat="1" ht="20.25" thickTop="1">
      <c r="B246" s="31">
        <v>16</v>
      </c>
      <c r="C246" s="29"/>
      <c r="D246" s="32"/>
      <c r="E246" s="29"/>
      <c r="F246" s="32"/>
      <c r="G246" s="29"/>
      <c r="H246" s="228"/>
      <c r="I246" s="29"/>
    </row>
    <row r="247" spans="1:37" s="16" customFormat="1">
      <c r="B247" s="56"/>
      <c r="C247" s="29"/>
      <c r="D247" s="91" t="str">
        <f>IF(D245="","",IF(D246="","",IF(D245/D246=B245/B246,"J","L")))</f>
        <v/>
      </c>
      <c r="E247" s="29"/>
      <c r="F247" s="19" t="str">
        <f>IF(F246="","",IF(F245="","",IF(F245/F246=D245/D246,"J","L")))</f>
        <v/>
      </c>
      <c r="G247" s="29"/>
      <c r="H247" s="29"/>
      <c r="I247" s="29"/>
    </row>
    <row r="248" spans="1:37" s="16" customFormat="1" ht="15"/>
    <row r="249" spans="1:37" s="16" customFormat="1" ht="20.25" thickBot="1">
      <c r="A249" s="29" t="s">
        <v>64</v>
      </c>
      <c r="B249" s="30">
        <v>24</v>
      </c>
      <c r="C249" s="29"/>
      <c r="D249" s="15"/>
      <c r="E249" s="29"/>
      <c r="F249" s="15"/>
      <c r="G249" s="29"/>
      <c r="H249" s="226"/>
      <c r="I249" s="17" t="str">
        <f>IF(H249="","",IF(H249=D249/D250,"J","L"))</f>
        <v/>
      </c>
      <c r="L249" s="16" t="s">
        <v>59</v>
      </c>
    </row>
    <row r="250" spans="1:37" s="16" customFormat="1" ht="20.25" thickTop="1">
      <c r="B250" s="31">
        <v>60</v>
      </c>
      <c r="C250" s="29"/>
      <c r="D250" s="32"/>
      <c r="E250" s="29"/>
      <c r="F250" s="32"/>
      <c r="G250" s="29"/>
      <c r="H250" s="226"/>
      <c r="I250" s="29"/>
    </row>
    <row r="251" spans="1:37" s="16" customFormat="1" ht="20.25" thickBot="1">
      <c r="B251" s="56"/>
      <c r="C251" s="29"/>
      <c r="D251" s="91" t="str">
        <f>IF(D249="","",IF(D250="","",IF(D249/D250=B249/B250,"J","L")))</f>
        <v/>
      </c>
      <c r="E251" s="29"/>
      <c r="F251" s="19" t="str">
        <f>IF(F250="","",IF(F249="","",IF(F249/F250=D249/D250,"J","L")))</f>
        <v/>
      </c>
      <c r="G251" s="29"/>
      <c r="H251" s="29"/>
      <c r="I251" s="29"/>
    </row>
    <row r="252" spans="1:37" ht="42.75" customHeight="1" thickTop="1" thickBot="1">
      <c r="A252" s="16"/>
      <c r="B252" s="16"/>
      <c r="C252" s="16"/>
      <c r="D252" s="16"/>
      <c r="E252" s="16"/>
      <c r="F252" s="89">
        <f>F254*10</f>
        <v>0</v>
      </c>
      <c r="G252" s="90" t="s">
        <v>102</v>
      </c>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row>
    <row r="253" spans="1:37" ht="13.5" customHeight="1" thickTop="1" thickBo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row>
    <row r="254" spans="1:37" s="16" customFormat="1" ht="22.5" customHeight="1" thickTop="1" thickBot="1">
      <c r="D254" s="24" t="s">
        <v>104</v>
      </c>
      <c r="F254" s="88">
        <f>COUNTIF(I213:I250,"J")</f>
        <v>0</v>
      </c>
      <c r="G254" s="24" t="s">
        <v>105</v>
      </c>
    </row>
    <row r="255" spans="1:37" ht="20.25" thickTop="1"/>
    <row r="256" spans="1:37" ht="59.25" customHeight="1">
      <c r="A256" s="47"/>
      <c r="B256" s="47"/>
      <c r="C256" s="47"/>
      <c r="D256" s="47"/>
      <c r="E256" s="47"/>
      <c r="F256" s="47"/>
      <c r="G256" s="47"/>
      <c r="H256" s="43"/>
      <c r="I256" s="43"/>
      <c r="J256" s="44"/>
      <c r="K256" s="53"/>
      <c r="L256" s="43"/>
      <c r="M256" s="43"/>
      <c r="N256" s="43"/>
      <c r="O256" s="43"/>
      <c r="P256" s="47"/>
      <c r="Q256" s="47"/>
      <c r="R256" s="47"/>
      <c r="S256" s="47"/>
      <c r="T256" s="47"/>
      <c r="U256" s="47"/>
      <c r="V256" s="47"/>
      <c r="W256" s="47"/>
    </row>
    <row r="257" spans="1:18">
      <c r="A257" s="29" t="s">
        <v>109</v>
      </c>
      <c r="D257" s="19"/>
    </row>
    <row r="258" spans="1:18" ht="43.5" customHeight="1"/>
    <row r="259" spans="1:18" ht="20.25" thickBot="1">
      <c r="A259" s="29" t="s">
        <v>54</v>
      </c>
      <c r="B259" s="30">
        <v>5</v>
      </c>
      <c r="D259" s="15"/>
      <c r="F259" s="225"/>
      <c r="G259" s="17" t="str">
        <f>IF(F259="","",IF(F259=B259/B260,"J","L"))</f>
        <v/>
      </c>
    </row>
    <row r="260" spans="1:18" ht="24" thickTop="1" thickBot="1">
      <c r="B260" s="31">
        <v>20</v>
      </c>
      <c r="D260" s="32"/>
      <c r="F260" s="225"/>
      <c r="I260" s="57"/>
      <c r="J260" s="42"/>
      <c r="K260" s="42"/>
      <c r="L260" s="23"/>
      <c r="M260" s="23"/>
      <c r="N260" s="58"/>
      <c r="O260" s="35"/>
      <c r="P260" s="35"/>
      <c r="Q260" s="35"/>
      <c r="R260" s="23"/>
    </row>
    <row r="261" spans="1:18" ht="23.25" thickTop="1">
      <c r="D261" s="19" t="str">
        <f>IF(D260="","",IF(D259="","",IF(D259/D260=B259/B260,"J","L")))</f>
        <v/>
      </c>
      <c r="I261" s="49"/>
      <c r="J261" s="49"/>
      <c r="K261" s="49"/>
      <c r="L261" s="23"/>
      <c r="M261" s="23"/>
      <c r="N261" s="45"/>
      <c r="O261" s="59" t="s">
        <v>86</v>
      </c>
      <c r="P261" s="46"/>
      <c r="Q261" s="48"/>
      <c r="R261" s="52"/>
    </row>
    <row r="262" spans="1:18" ht="22.5">
      <c r="I262" s="35"/>
      <c r="J262" s="35"/>
      <c r="K262" s="50"/>
      <c r="L262" s="50"/>
      <c r="M262" s="23"/>
      <c r="N262" s="36"/>
      <c r="O262" s="35"/>
      <c r="P262" s="35"/>
      <c r="Q262" s="37"/>
      <c r="R262" s="23"/>
    </row>
    <row r="263" spans="1:18" ht="21" thickBot="1">
      <c r="A263" s="29" t="s">
        <v>55</v>
      </c>
      <c r="B263" s="30">
        <v>4</v>
      </c>
      <c r="D263" s="15"/>
      <c r="F263" s="224"/>
      <c r="G263" s="17" t="str">
        <f>IF(F263="","",IF(F263=B263/B264,"J","L"))</f>
        <v/>
      </c>
      <c r="I263" s="38"/>
      <c r="J263" s="35"/>
      <c r="K263" s="35"/>
      <c r="L263" s="51"/>
      <c r="N263" s="36"/>
      <c r="O263" s="35"/>
      <c r="P263" s="35"/>
      <c r="Q263" s="35"/>
    </row>
    <row r="264" spans="1:18" ht="21" thickTop="1">
      <c r="B264" s="31">
        <v>5</v>
      </c>
      <c r="D264" s="32"/>
      <c r="F264" s="224"/>
      <c r="I264" s="35"/>
      <c r="N264" s="36"/>
      <c r="P264" s="35"/>
      <c r="Q264" s="35"/>
      <c r="R264" s="26" t="str">
        <f>IF(L263&gt;N260,"L",IF((N261+P261*0.1+Q261*0.01+R261*0.001)*N260+L263*0.001=I260,"J","L"))</f>
        <v>J</v>
      </c>
    </row>
    <row r="265" spans="1:18">
      <c r="D265" s="19" t="str">
        <f>IF(D264="","",IF(D263="","",IF(D263/D264=B263/B264,"J","L")))</f>
        <v/>
      </c>
    </row>
    <row r="267" spans="1:18" ht="20.25" thickBot="1">
      <c r="A267" s="29" t="s">
        <v>56</v>
      </c>
      <c r="B267" s="30">
        <v>5</v>
      </c>
      <c r="D267" s="15"/>
      <c r="F267" s="227"/>
      <c r="G267" s="17" t="str">
        <f>IF(F267="","",IF(F267=B267/B268,"J","L"))</f>
        <v/>
      </c>
    </row>
    <row r="268" spans="1:18" ht="20.25" thickTop="1">
      <c r="B268" s="31">
        <v>8</v>
      </c>
      <c r="D268" s="32"/>
      <c r="F268" s="227"/>
    </row>
    <row r="269" spans="1:18">
      <c r="D269" s="19" t="str">
        <f>IF(D268="","",IF(D267="","",IF(D267/D268=B267/B268,"J","L")))</f>
        <v/>
      </c>
    </row>
    <row r="271" spans="1:18" ht="20.25" thickBot="1">
      <c r="A271" s="29" t="s">
        <v>57</v>
      </c>
      <c r="B271" s="30">
        <v>4</v>
      </c>
      <c r="D271" s="15"/>
      <c r="F271" s="225"/>
      <c r="G271" s="17" t="str">
        <f>IF(F271="","",IF(F271=B271/B272,"J","L"))</f>
        <v/>
      </c>
    </row>
    <row r="272" spans="1:18" ht="20.25" thickTop="1">
      <c r="B272" s="31">
        <v>4</v>
      </c>
      <c r="D272" s="32"/>
      <c r="F272" s="225"/>
    </row>
    <row r="273" spans="1:18">
      <c r="D273" s="19" t="str">
        <f>IF(D272="","",IF(D271="","",IF(D271/D272=B271/B272,"J","L")))</f>
        <v/>
      </c>
    </row>
    <row r="275" spans="1:18" ht="20.25" thickBot="1">
      <c r="A275" s="29" t="s">
        <v>58</v>
      </c>
      <c r="B275" s="30">
        <v>10</v>
      </c>
      <c r="D275" s="15"/>
      <c r="F275" s="224"/>
      <c r="G275" s="17" t="str">
        <f>IF(F275="","",IF(F275=B275/B276,"J","L"))</f>
        <v/>
      </c>
    </row>
    <row r="276" spans="1:18" ht="20.25" thickTop="1">
      <c r="B276" s="31">
        <v>25</v>
      </c>
      <c r="D276" s="32"/>
      <c r="F276" s="224"/>
    </row>
    <row r="277" spans="1:18">
      <c r="D277" s="19" t="str">
        <f>IF(D276="","",IF(D275="","",IF(D275/D276=B275/B276,"J","L")))</f>
        <v/>
      </c>
    </row>
    <row r="278" spans="1:18" ht="23.25" thickBot="1">
      <c r="D278" s="19"/>
      <c r="I278" s="57"/>
      <c r="J278" s="42"/>
      <c r="K278" s="42"/>
      <c r="L278" s="23"/>
      <c r="M278" s="23"/>
      <c r="N278" s="58"/>
      <c r="O278" s="35"/>
      <c r="P278" s="35"/>
      <c r="Q278" s="35"/>
      <c r="R278" s="23"/>
    </row>
    <row r="279" spans="1:18" ht="24" thickTop="1" thickBot="1">
      <c r="A279" s="29" t="s">
        <v>60</v>
      </c>
      <c r="B279" s="30">
        <v>1</v>
      </c>
      <c r="D279" s="15"/>
      <c r="F279" s="225"/>
      <c r="G279" s="17" t="str">
        <f>IF(F279="","",IF(F279=B279/B280,"J","L"))</f>
        <v/>
      </c>
      <c r="I279" s="49"/>
      <c r="J279" s="49"/>
      <c r="K279" s="49"/>
      <c r="L279" s="23"/>
      <c r="M279" s="23"/>
      <c r="N279" s="45"/>
      <c r="O279" s="59" t="s">
        <v>86</v>
      </c>
      <c r="P279" s="46"/>
      <c r="Q279" s="48"/>
      <c r="R279" s="52"/>
    </row>
    <row r="280" spans="1:18" ht="23.25" thickTop="1">
      <c r="B280" s="31">
        <v>50</v>
      </c>
      <c r="D280" s="32"/>
      <c r="F280" s="225"/>
      <c r="I280" s="35"/>
      <c r="J280" s="35"/>
      <c r="K280" s="50"/>
      <c r="L280" s="50"/>
      <c r="M280" s="23"/>
      <c r="N280" s="36"/>
      <c r="O280" s="35"/>
      <c r="P280" s="35"/>
      <c r="Q280" s="37"/>
      <c r="R280" s="23"/>
    </row>
    <row r="281" spans="1:18" ht="20.25">
      <c r="D281" s="19" t="str">
        <f>IF(D280="","",IF(D279="","",IF(D279/D280=B279/B280,"J","L")))</f>
        <v/>
      </c>
      <c r="I281" s="38"/>
      <c r="J281" s="35"/>
      <c r="K281" s="35"/>
      <c r="L281" s="51"/>
      <c r="N281" s="36"/>
      <c r="O281" s="35"/>
      <c r="P281" s="35"/>
      <c r="Q281" s="35"/>
    </row>
    <row r="282" spans="1:18" ht="20.25">
      <c r="I282" s="35"/>
      <c r="N282" s="36"/>
      <c r="P282" s="35"/>
      <c r="Q282" s="35"/>
      <c r="R282" s="26" t="str">
        <f>IF(L281&gt;N278,"L",IF((N279+P279*0.1+Q279*0.01+R279*0.001)*N278+L281*0.001=I278,"J","L"))</f>
        <v>J</v>
      </c>
    </row>
    <row r="283" spans="1:18" ht="20.25" thickBot="1">
      <c r="A283" s="29" t="s">
        <v>61</v>
      </c>
      <c r="B283" s="30">
        <v>3</v>
      </c>
      <c r="D283" s="15"/>
      <c r="F283" s="224"/>
      <c r="G283" s="17" t="str">
        <f>IF(F283="","",IF(F283=B283/B284,"J","L"))</f>
        <v/>
      </c>
    </row>
    <row r="284" spans="1:18" ht="20.25" thickTop="1">
      <c r="B284" s="31">
        <v>20</v>
      </c>
      <c r="D284" s="32"/>
      <c r="F284" s="224"/>
    </row>
    <row r="285" spans="1:18">
      <c r="D285" s="19" t="str">
        <f>IF(D284="","",IF(D283="","",IF(D283/D284=B283/B284,"J","L")))</f>
        <v/>
      </c>
    </row>
    <row r="287" spans="1:18" ht="20.25" thickBot="1">
      <c r="A287" s="29" t="s">
        <v>62</v>
      </c>
      <c r="B287" s="30">
        <v>7</v>
      </c>
      <c r="D287" s="15"/>
      <c r="F287" s="224"/>
      <c r="G287" s="17" t="str">
        <f>IF(F287="","",IF(F287=B287/B288,"J","L"))</f>
        <v/>
      </c>
    </row>
    <row r="288" spans="1:18" ht="21" thickTop="1" thickBot="1">
      <c r="B288" s="31">
        <v>25</v>
      </c>
      <c r="D288" s="32"/>
      <c r="F288" s="224"/>
    </row>
    <row r="289" spans="1:21" ht="30.75" thickTop="1" thickBot="1">
      <c r="D289" s="19" t="str">
        <f>IF(D288="","",IF(D287="","",IF(D287/D288=B287/B288,"J","L")))</f>
        <v/>
      </c>
      <c r="T289" s="87">
        <f>T291*10</f>
        <v>0</v>
      </c>
      <c r="U289" s="64" t="s">
        <v>102</v>
      </c>
    </row>
    <row r="290" spans="1:21" ht="21" thickTop="1" thickBot="1"/>
    <row r="291" spans="1:21" ht="21" thickTop="1" thickBot="1">
      <c r="A291" s="29" t="s">
        <v>63</v>
      </c>
      <c r="B291" s="30">
        <v>5</v>
      </c>
      <c r="D291" s="15"/>
      <c r="F291" s="225"/>
      <c r="G291" s="17" t="str">
        <f>IF(F291="","",IF(F291=B291/B292,"J","L"))</f>
        <v/>
      </c>
      <c r="Q291" s="29" t="s">
        <v>101</v>
      </c>
      <c r="T291" s="63">
        <f>COUNTIF(G259:G296,"J")</f>
        <v>0</v>
      </c>
    </row>
    <row r="292" spans="1:21" ht="20.25" thickTop="1">
      <c r="B292" s="31">
        <v>50</v>
      </c>
      <c r="D292" s="32"/>
      <c r="F292" s="225"/>
    </row>
    <row r="293" spans="1:21">
      <c r="D293" s="19" t="str">
        <f>IF(D292="","",IF(D291="","",IF(D291/D292=B291/B292,"J","L")))</f>
        <v/>
      </c>
    </row>
    <row r="295" spans="1:21" ht="20.25" thickBot="1">
      <c r="A295" s="29" t="s">
        <v>64</v>
      </c>
      <c r="B295" s="30">
        <v>1</v>
      </c>
      <c r="D295" s="15"/>
      <c r="F295" s="224"/>
      <c r="G295" s="17" t="str">
        <f>IF(F295="","",IF(F295=B295/B296,"J","L"))</f>
        <v/>
      </c>
    </row>
    <row r="296" spans="1:21" ht="20.25" thickTop="1">
      <c r="B296" s="31">
        <v>25</v>
      </c>
      <c r="D296" s="32"/>
      <c r="F296" s="224"/>
    </row>
    <row r="297" spans="1:21">
      <c r="D297" s="19" t="str">
        <f>IF(D296="","",IF(D295="","",IF(D295/D296=B295/B296,"J","L")))</f>
        <v/>
      </c>
    </row>
    <row r="298" spans="1:21">
      <c r="D298" s="19"/>
    </row>
  </sheetData>
  <sheetProtection password="C613" sheet="1" objects="1" scenarios="1"/>
  <mergeCells count="50">
    <mergeCell ref="L7:L8"/>
    <mergeCell ref="M7:N8"/>
    <mergeCell ref="D37:D38"/>
    <mergeCell ref="D118:D119"/>
    <mergeCell ref="F87:F88"/>
    <mergeCell ref="F91:F92"/>
    <mergeCell ref="F95:F96"/>
    <mergeCell ref="F99:F100"/>
    <mergeCell ref="F75:F76"/>
    <mergeCell ref="F79:F80"/>
    <mergeCell ref="F107:F108"/>
    <mergeCell ref="F83:F84"/>
    <mergeCell ref="F103:F104"/>
    <mergeCell ref="F8:F9"/>
    <mergeCell ref="F12:F13"/>
    <mergeCell ref="F16:F17"/>
    <mergeCell ref="F71:F72"/>
    <mergeCell ref="H27:H28"/>
    <mergeCell ref="D174:D175"/>
    <mergeCell ref="D166:D167"/>
    <mergeCell ref="D158:D159"/>
    <mergeCell ref="D150:D151"/>
    <mergeCell ref="D46:D47"/>
    <mergeCell ref="D134:D135"/>
    <mergeCell ref="D142:D143"/>
    <mergeCell ref="D126:D127"/>
    <mergeCell ref="D55:D56"/>
    <mergeCell ref="H217:H218"/>
    <mergeCell ref="H221:H222"/>
    <mergeCell ref="H225:H226"/>
    <mergeCell ref="H229:H230"/>
    <mergeCell ref="D182:D183"/>
    <mergeCell ref="D190:D191"/>
    <mergeCell ref="H208:H209"/>
    <mergeCell ref="H213:H214"/>
    <mergeCell ref="H249:H250"/>
    <mergeCell ref="F259:F260"/>
    <mergeCell ref="F263:F264"/>
    <mergeCell ref="F267:F268"/>
    <mergeCell ref="H233:H234"/>
    <mergeCell ref="H237:H238"/>
    <mergeCell ref="H241:H242"/>
    <mergeCell ref="H245:H246"/>
    <mergeCell ref="F287:F288"/>
    <mergeCell ref="F291:F292"/>
    <mergeCell ref="F295:F296"/>
    <mergeCell ref="F271:F272"/>
    <mergeCell ref="F275:F276"/>
    <mergeCell ref="F279:F280"/>
    <mergeCell ref="F283:F284"/>
  </mergeCells>
  <phoneticPr fontId="0" type="noConversion"/>
  <conditionalFormatting sqref="O9:X18 Z9:AI18 AK9:AT18">
    <cfRule type="cellIs" dxfId="7" priority="2" stopIfTrue="1" operator="equal">
      <formula>"J"</formula>
    </cfRule>
  </conditionalFormatting>
  <conditionalFormatting sqref="K8">
    <cfRule type="cellIs" dxfId="6" priority="1" stopIfTrue="1" operator="greaterThan">
      <formula>3</formula>
    </cfRule>
  </conditionalFormatting>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dimension ref="A1:M73"/>
  <sheetViews>
    <sheetView workbookViewId="0"/>
  </sheetViews>
  <sheetFormatPr defaultRowHeight="22.5"/>
  <cols>
    <col min="1" max="16384" width="9" style="13"/>
  </cols>
  <sheetData>
    <row r="1" spans="1:13" ht="66.75" customHeight="1">
      <c r="A1" s="95"/>
      <c r="B1" s="95"/>
      <c r="C1" s="95"/>
      <c r="D1" s="95"/>
      <c r="E1" s="95"/>
      <c r="F1" s="95"/>
      <c r="G1" s="95"/>
      <c r="H1" s="95"/>
      <c r="I1" s="95"/>
      <c r="J1" s="95"/>
      <c r="K1" s="95"/>
      <c r="L1" s="95"/>
      <c r="M1" s="95"/>
    </row>
    <row r="2" spans="1:13" ht="15" customHeight="1"/>
    <row r="3" spans="1:13" ht="28.5" customHeight="1"/>
    <row r="4" spans="1:13" ht="28.5" customHeight="1">
      <c r="A4" s="109" t="s">
        <v>71</v>
      </c>
      <c r="B4" s="20"/>
      <c r="C4" s="20"/>
      <c r="D4" s="20"/>
      <c r="E4" s="20"/>
      <c r="F4" s="20"/>
      <c r="G4" s="20"/>
      <c r="H4" s="20"/>
      <c r="I4" s="20"/>
      <c r="J4" s="20"/>
      <c r="K4" s="20"/>
    </row>
    <row r="5" spans="1:13" ht="28.5" customHeight="1">
      <c r="A5" s="109" t="s">
        <v>72</v>
      </c>
      <c r="B5" s="20"/>
      <c r="C5" s="20"/>
      <c r="D5" s="20"/>
      <c r="E5" s="20"/>
      <c r="F5" s="20"/>
      <c r="G5" s="20"/>
      <c r="H5" s="20"/>
      <c r="I5" s="20"/>
      <c r="J5" s="20"/>
      <c r="K5" s="20"/>
    </row>
    <row r="6" spans="1:13" ht="28.5" customHeight="1">
      <c r="A6" s="109" t="s">
        <v>73</v>
      </c>
      <c r="B6" s="20"/>
      <c r="C6" s="20"/>
      <c r="D6" s="20"/>
      <c r="E6" s="20"/>
      <c r="F6" s="20"/>
      <c r="G6" s="20"/>
      <c r="H6" s="20"/>
      <c r="I6" s="20"/>
      <c r="J6" s="20"/>
      <c r="K6" s="20"/>
    </row>
    <row r="7" spans="1:13" ht="27" customHeight="1">
      <c r="A7" s="109" t="s">
        <v>74</v>
      </c>
      <c r="B7" s="20"/>
      <c r="C7" s="20"/>
      <c r="D7" s="20"/>
      <c r="E7" s="20"/>
      <c r="F7" s="20"/>
      <c r="G7" s="20"/>
      <c r="H7" s="20"/>
      <c r="I7" s="20"/>
      <c r="J7" s="20"/>
      <c r="K7" s="20"/>
    </row>
    <row r="8" spans="1:13" ht="51.75" customHeight="1">
      <c r="A8" s="108"/>
    </row>
    <row r="9" spans="1:13" ht="21" customHeight="1">
      <c r="A9" s="13" t="s">
        <v>110</v>
      </c>
    </row>
    <row r="10" spans="1:13" ht="21" customHeight="1">
      <c r="A10" s="13" t="s">
        <v>111</v>
      </c>
    </row>
    <row r="11" spans="1:13" ht="21" customHeight="1">
      <c r="A11" s="13" t="s">
        <v>7</v>
      </c>
    </row>
    <row r="12" spans="1:13" ht="21" customHeight="1">
      <c r="A12" s="13" t="s">
        <v>0</v>
      </c>
    </row>
    <row r="13" spans="1:13" ht="21" customHeight="1">
      <c r="A13" s="13" t="s">
        <v>6</v>
      </c>
    </row>
    <row r="14" spans="1:13" ht="21" customHeight="1">
      <c r="B14" s="201" t="s">
        <v>75</v>
      </c>
      <c r="C14" s="201"/>
      <c r="H14" s="201" t="s">
        <v>76</v>
      </c>
      <c r="I14" s="201"/>
    </row>
    <row r="15" spans="1:13" ht="23.25" thickBot="1">
      <c r="B15" s="93">
        <v>1</v>
      </c>
      <c r="D15" s="13">
        <f>B15*100/B16</f>
        <v>33.333333333333336</v>
      </c>
      <c r="H15" s="234">
        <f>B15/B16</f>
        <v>0.33333333333333331</v>
      </c>
    </row>
    <row r="16" spans="1:13" ht="23.25" thickTop="1">
      <c r="B16" s="94">
        <v>3</v>
      </c>
      <c r="D16" s="13">
        <f>100-D15</f>
        <v>66.666666666666657</v>
      </c>
      <c r="H16" s="234"/>
    </row>
    <row r="17" spans="1:11">
      <c r="H17" s="13" t="str">
        <f>IF(B15/B16&gt;1,"που έγραψες.","")</f>
        <v/>
      </c>
    </row>
    <row r="18" spans="1:11">
      <c r="H18" s="13" t="str">
        <f>IF(B15/B16&gt;1,"Γράψε αριθμητή μικρότερο","")</f>
        <v/>
      </c>
    </row>
    <row r="19" spans="1:11">
      <c r="H19" s="13" t="str">
        <f>IF(B15/B16&gt;1,"από τον παρονομαστή","")</f>
        <v/>
      </c>
    </row>
    <row r="23" spans="1:11">
      <c r="C23" s="13" t="s">
        <v>154</v>
      </c>
    </row>
    <row r="28" spans="1:11">
      <c r="A28" s="97"/>
      <c r="B28" s="97"/>
      <c r="C28" s="97"/>
      <c r="D28" s="97"/>
      <c r="E28" s="97"/>
      <c r="F28" s="97"/>
      <c r="G28" s="97"/>
      <c r="H28" s="97"/>
      <c r="I28" s="97"/>
      <c r="J28" s="97"/>
      <c r="K28" s="97"/>
    </row>
    <row r="29" spans="1:11">
      <c r="A29" s="98" t="s">
        <v>5</v>
      </c>
      <c r="B29" s="98"/>
      <c r="C29" s="98"/>
      <c r="D29" s="98"/>
      <c r="E29" s="98"/>
      <c r="F29" s="98"/>
      <c r="G29" s="98"/>
      <c r="H29" s="98"/>
      <c r="I29" s="98"/>
      <c r="J29" s="98"/>
      <c r="K29" s="97"/>
    </row>
    <row r="30" spans="1:11">
      <c r="A30" s="98"/>
      <c r="B30" s="98"/>
      <c r="C30" s="98"/>
      <c r="D30" s="98"/>
      <c r="E30" s="98"/>
      <c r="F30" s="5"/>
      <c r="G30" s="233" t="s">
        <v>76</v>
      </c>
      <c r="H30" s="233"/>
      <c r="I30" s="98"/>
      <c r="J30" s="98"/>
      <c r="K30" s="97"/>
    </row>
    <row r="31" spans="1:11" ht="32.25" thickBot="1">
      <c r="A31" s="5"/>
      <c r="B31" s="100">
        <v>10</v>
      </c>
      <c r="C31" s="5"/>
      <c r="D31" s="106">
        <f>B31/B32</f>
        <v>2</v>
      </c>
      <c r="E31" s="107" t="s">
        <v>4</v>
      </c>
      <c r="F31" s="235">
        <f>IF(B31="","",IF(B32="","",B31/B32))</f>
        <v>2</v>
      </c>
      <c r="G31" s="235"/>
      <c r="H31" s="203"/>
      <c r="I31" s="203"/>
      <c r="J31" s="203"/>
      <c r="K31" s="97"/>
    </row>
    <row r="32" spans="1:11" ht="32.25" thickTop="1">
      <c r="A32" s="5"/>
      <c r="B32" s="101">
        <v>5</v>
      </c>
      <c r="C32" s="5"/>
      <c r="D32" s="106">
        <f>COUNTIF(A35:L42,"●")</f>
        <v>2</v>
      </c>
      <c r="E32" s="107" t="s">
        <v>3</v>
      </c>
      <c r="F32" s="235"/>
      <c r="G32" s="235"/>
      <c r="H32" s="203"/>
      <c r="I32" s="203"/>
      <c r="J32" s="203"/>
      <c r="K32" s="97"/>
    </row>
    <row r="33" spans="1:11">
      <c r="A33" s="5"/>
      <c r="B33" s="5"/>
      <c r="C33" s="5"/>
      <c r="D33" s="103">
        <f>B31-D32*B32</f>
        <v>0</v>
      </c>
      <c r="E33" s="107" t="s">
        <v>1</v>
      </c>
      <c r="F33" s="6"/>
      <c r="G33" s="5"/>
      <c r="H33" s="103">
        <f>D33</f>
        <v>0</v>
      </c>
      <c r="I33" s="203"/>
      <c r="J33" s="103">
        <v>61</v>
      </c>
      <c r="K33" s="97"/>
    </row>
    <row r="34" spans="1:11">
      <c r="A34" s="5"/>
      <c r="B34" s="5"/>
      <c r="C34" s="5"/>
      <c r="D34" s="103">
        <f>B32</f>
        <v>5</v>
      </c>
      <c r="E34" s="107" t="s">
        <v>2</v>
      </c>
      <c r="F34" s="103">
        <v>1</v>
      </c>
      <c r="G34" s="5"/>
      <c r="H34" s="103">
        <f>D34-D33</f>
        <v>5</v>
      </c>
      <c r="I34" s="203"/>
      <c r="J34" s="103">
        <v>30</v>
      </c>
      <c r="K34" s="97"/>
    </row>
    <row r="35" spans="1:11" ht="112.5" customHeight="1">
      <c r="A35" s="96" t="str">
        <f>IF(D31=10,"●",IF(D31&gt;10,"●",""))</f>
        <v/>
      </c>
      <c r="B35" s="96" t="str">
        <f>IF(D31=9,"●",IF(D31&gt;9,"●",""))</f>
        <v/>
      </c>
      <c r="C35" s="96" t="str">
        <f>IF(D31=8,"●",IF(D31&gt;8,"●",""))</f>
        <v/>
      </c>
      <c r="D35" s="96" t="str">
        <f>IF(D31=7,"●",IF(D31&gt;7,"●",""))</f>
        <v/>
      </c>
      <c r="E35" s="96" t="str">
        <f>IF(D31=6,"●",IF(D31&gt;6,"●",""))</f>
        <v/>
      </c>
      <c r="F35" s="96" t="str">
        <f>IF(D31=5,"●",IF(D31&gt;5,"●",""))</f>
        <v/>
      </c>
      <c r="G35" s="96" t="str">
        <f>IF(D31=4,"●",IF(D31&gt;4,"●",""))</f>
        <v/>
      </c>
      <c r="H35" s="96" t="str">
        <f>IF(D31=3,"●",IF(D31&gt;3,"●",""))</f>
        <v/>
      </c>
      <c r="I35" s="96" t="str">
        <f>IF(D31=2,"●",IF(D31&gt;2,"●",""))</f>
        <v>●</v>
      </c>
      <c r="J35" s="96" t="str">
        <f>IF(D31=1,"●",IF(D31&gt;1,"●",""))</f>
        <v>●</v>
      </c>
      <c r="K35" s="97"/>
    </row>
    <row r="36" spans="1:11" hidden="1">
      <c r="A36" s="105"/>
      <c r="B36" s="105"/>
      <c r="C36" s="105"/>
      <c r="D36" s="105"/>
      <c r="E36" s="105"/>
      <c r="F36" s="105"/>
      <c r="G36" s="105"/>
      <c r="H36" s="105"/>
      <c r="I36" s="105"/>
      <c r="J36" s="105"/>
      <c r="K36" s="97"/>
    </row>
    <row r="37" spans="1:11" ht="113.25" customHeight="1">
      <c r="A37" s="96" t="str">
        <f>IF(D31=20,"●",IF(D31&gt;20,"●",""))</f>
        <v/>
      </c>
      <c r="B37" s="96" t="str">
        <f>IF(D31=19,"●",IF(D31&gt;19,"●",""))</f>
        <v/>
      </c>
      <c r="C37" s="96" t="str">
        <f>IF(D31=18,"●",IF(D31&gt;18,"●",""))</f>
        <v/>
      </c>
      <c r="D37" s="96" t="str">
        <f>IF(D31=17,"●",IF(D31&gt;17,"●",""))</f>
        <v/>
      </c>
      <c r="E37" s="96" t="str">
        <f>IF(D31=16,"●",IF(D31&gt;16,"●",""))</f>
        <v/>
      </c>
      <c r="F37" s="96" t="str">
        <f>IF(D31=15,"●",IF(D31&gt;15,"●",""))</f>
        <v/>
      </c>
      <c r="G37" s="96" t="str">
        <f>IF(D31=14,"●",IF(D31&gt;14,"●",""))</f>
        <v/>
      </c>
      <c r="H37" s="96" t="str">
        <f>IF(D31=13,"●",IF(D31&gt;13,"●",""))</f>
        <v/>
      </c>
      <c r="I37" s="96" t="str">
        <f>IF(D31=12,"●",IF(D31&gt;12,"●",""))</f>
        <v/>
      </c>
      <c r="J37" s="96" t="str">
        <f>IF(D31=11,"●",IF(D31&gt;11,"●",""))</f>
        <v/>
      </c>
      <c r="K37" s="97"/>
    </row>
    <row r="38" spans="1:11" ht="113.25" customHeight="1">
      <c r="A38" s="96" t="str">
        <f>IF(D31=29,"●",IF(D31&gt;29,"●",""))</f>
        <v/>
      </c>
      <c r="B38" s="96" t="str">
        <f>IF(D31=28,"●",IF(D31&gt;28,"●",""))</f>
        <v/>
      </c>
      <c r="C38" s="96" t="str">
        <f>IF(D31=28,"●",IF(D31&gt;28,"●",""))</f>
        <v/>
      </c>
      <c r="D38" s="96" t="str">
        <f>IF(D31=27,"●",IF(D31&gt;27,"●",""))</f>
        <v/>
      </c>
      <c r="E38" s="96" t="str">
        <f>IF(D31=26,"●",IF(D31&gt;26,"●",""))</f>
        <v/>
      </c>
      <c r="F38" s="96" t="str">
        <f>IF(D31=25,"●",IF(D31&gt;25,"●",""))</f>
        <v/>
      </c>
      <c r="G38" s="96" t="str">
        <f>IF(D31=24,"●",IF(D31&gt;24,"●",""))</f>
        <v/>
      </c>
      <c r="H38" s="96" t="str">
        <f>IF(D31=23,"●",IF(D31&gt;23,"●",""))</f>
        <v/>
      </c>
      <c r="I38" s="96" t="str">
        <f>IF(D31=22,"●",IF(D31&gt;22,"●",""))</f>
        <v/>
      </c>
      <c r="J38" s="96" t="str">
        <f>IF(D31=21,"●",IF(D31&gt;21,"●",""))</f>
        <v/>
      </c>
      <c r="K38" s="97"/>
    </row>
    <row r="39" spans="1:11">
      <c r="A39" s="104"/>
      <c r="B39" s="104"/>
      <c r="C39" s="104"/>
      <c r="D39" s="104"/>
      <c r="E39" s="104"/>
      <c r="F39" s="104"/>
      <c r="G39" s="104"/>
      <c r="H39" s="104"/>
      <c r="I39" s="104"/>
      <c r="J39" s="104" t="str">
        <f>IF(D31=31,"●",IF(D31&gt;31,"●",""))</f>
        <v/>
      </c>
      <c r="K39" s="97"/>
    </row>
    <row r="40" spans="1:11" ht="15.75" customHeight="1">
      <c r="A40" s="104"/>
      <c r="B40" s="104"/>
      <c r="C40" s="104"/>
      <c r="D40" s="104"/>
      <c r="E40" s="104"/>
      <c r="F40" s="104"/>
      <c r="G40" s="104"/>
      <c r="H40" s="104"/>
      <c r="I40" s="104"/>
      <c r="J40" s="104"/>
      <c r="K40" s="97"/>
    </row>
    <row r="41" spans="1:11">
      <c r="A41" s="5"/>
      <c r="B41" s="5"/>
      <c r="C41" s="5"/>
      <c r="D41" s="5"/>
      <c r="E41" s="5"/>
      <c r="F41" s="5"/>
      <c r="G41" s="5"/>
      <c r="H41" s="5"/>
      <c r="I41" s="5"/>
      <c r="J41" s="5"/>
      <c r="K41" s="5"/>
    </row>
    <row r="42" spans="1:11">
      <c r="A42" s="5"/>
      <c r="B42" s="5"/>
      <c r="C42" s="5"/>
      <c r="D42" s="5"/>
      <c r="E42" s="5"/>
      <c r="F42" s="5"/>
      <c r="G42" s="5"/>
      <c r="H42" s="5"/>
      <c r="I42" s="5"/>
      <c r="J42" s="5"/>
      <c r="K42" s="5"/>
    </row>
    <row r="43" spans="1:11">
      <c r="A43" s="5"/>
      <c r="B43" s="5"/>
      <c r="C43" s="5"/>
      <c r="D43" s="5"/>
      <c r="E43" s="5"/>
      <c r="F43" s="5"/>
      <c r="G43" s="5"/>
      <c r="H43" s="5"/>
      <c r="I43" s="5"/>
      <c r="J43" s="5"/>
      <c r="K43" s="5"/>
    </row>
    <row r="44" spans="1:11">
      <c r="A44" s="98" t="s">
        <v>9</v>
      </c>
      <c r="B44" s="98"/>
      <c r="C44" s="98"/>
      <c r="D44" s="98"/>
      <c r="E44" s="98"/>
      <c r="F44" s="98"/>
      <c r="G44" s="98"/>
      <c r="H44" s="98"/>
      <c r="I44" s="98"/>
      <c r="J44" s="98"/>
      <c r="K44" s="5"/>
    </row>
    <row r="45" spans="1:11">
      <c r="A45" s="98" t="s">
        <v>10</v>
      </c>
      <c r="B45" s="98"/>
      <c r="C45" s="98"/>
      <c r="D45" s="98"/>
      <c r="E45" s="98"/>
      <c r="F45" s="98"/>
      <c r="G45" s="98"/>
      <c r="H45" s="98"/>
      <c r="I45" s="98"/>
      <c r="J45" s="98"/>
      <c r="K45" s="5"/>
    </row>
    <row r="46" spans="1:11">
      <c r="A46" s="98"/>
      <c r="B46" s="98"/>
      <c r="C46" s="98"/>
      <c r="D46" s="98"/>
      <c r="E46" s="98"/>
      <c r="F46" s="5"/>
      <c r="G46" s="233" t="s">
        <v>76</v>
      </c>
      <c r="H46" s="233"/>
      <c r="I46" s="98"/>
      <c r="J46" s="98"/>
      <c r="K46" s="5"/>
    </row>
    <row r="47" spans="1:11" ht="32.25" thickBot="1">
      <c r="A47" s="5"/>
      <c r="B47" s="100">
        <v>1</v>
      </c>
      <c r="C47" s="5"/>
      <c r="D47" s="106">
        <f>B47/B48</f>
        <v>0.25</v>
      </c>
      <c r="E47" s="107" t="s">
        <v>4</v>
      </c>
      <c r="F47" s="235">
        <v>0.25</v>
      </c>
      <c r="G47" s="235"/>
      <c r="H47" s="237" t="str">
        <f>IF(B47="","",IF(B48="","",IF(F47="","",IF(F47=B47/B48,"J","L"))))</f>
        <v>J</v>
      </c>
      <c r="I47" s="203"/>
      <c r="J47" s="203"/>
      <c r="K47" s="5"/>
    </row>
    <row r="48" spans="1:11" ht="32.25" thickTop="1">
      <c r="A48" s="5"/>
      <c r="B48" s="101">
        <v>4</v>
      </c>
      <c r="C48" s="5"/>
      <c r="D48" s="106">
        <f>COUNTIF(A51:L58,"●")</f>
        <v>0</v>
      </c>
      <c r="E48" s="107" t="s">
        <v>3</v>
      </c>
      <c r="F48" s="235"/>
      <c r="G48" s="235"/>
      <c r="H48" s="237"/>
      <c r="I48" s="203"/>
      <c r="J48" s="203"/>
      <c r="K48" s="5"/>
    </row>
    <row r="49" spans="1:11">
      <c r="A49" s="5"/>
      <c r="B49" s="5"/>
      <c r="C49" s="5"/>
      <c r="D49" s="202"/>
      <c r="E49" s="102"/>
      <c r="F49" s="6"/>
      <c r="G49" s="5"/>
      <c r="H49" s="103">
        <f>D49</f>
        <v>0</v>
      </c>
      <c r="I49" s="203"/>
      <c r="J49" s="103">
        <v>61</v>
      </c>
      <c r="K49" s="5"/>
    </row>
    <row r="50" spans="1:11">
      <c r="A50" s="5"/>
      <c r="B50" s="5"/>
      <c r="C50" s="5"/>
      <c r="D50" s="202"/>
      <c r="E50" s="102"/>
      <c r="F50" s="103">
        <v>1</v>
      </c>
      <c r="G50" s="5"/>
      <c r="H50" s="103">
        <f>D50-D49</f>
        <v>0</v>
      </c>
      <c r="I50" s="203"/>
      <c r="J50" s="103">
        <v>30</v>
      </c>
      <c r="K50" s="5"/>
    </row>
    <row r="53" spans="1:11">
      <c r="A53" s="5"/>
      <c r="B53" s="5"/>
      <c r="C53" s="5"/>
      <c r="D53" s="5"/>
      <c r="E53" s="5"/>
      <c r="F53" s="5"/>
      <c r="G53" s="5"/>
      <c r="H53" s="5"/>
      <c r="I53" s="5"/>
      <c r="J53" s="5"/>
      <c r="K53" s="5"/>
    </row>
    <row r="54" spans="1:11">
      <c r="A54" s="5"/>
      <c r="B54" s="5"/>
      <c r="C54" s="5"/>
      <c r="D54" s="5"/>
      <c r="E54" s="5"/>
      <c r="F54" s="5"/>
      <c r="G54" s="5"/>
      <c r="H54" s="5"/>
      <c r="I54" s="5"/>
      <c r="J54" s="5"/>
      <c r="K54" s="5"/>
    </row>
    <row r="55" spans="1:11">
      <c r="A55" s="98" t="s">
        <v>9</v>
      </c>
      <c r="B55" s="98"/>
      <c r="C55" s="98"/>
      <c r="D55" s="98"/>
      <c r="E55" s="98"/>
      <c r="F55" s="98"/>
      <c r="G55" s="98"/>
      <c r="H55" s="98"/>
      <c r="I55" s="98"/>
      <c r="J55" s="98"/>
      <c r="K55" s="5"/>
    </row>
    <row r="56" spans="1:11">
      <c r="A56" s="98" t="s">
        <v>10</v>
      </c>
      <c r="B56" s="98"/>
      <c r="C56" s="98"/>
      <c r="D56" s="98"/>
      <c r="E56" s="98"/>
      <c r="F56" s="98"/>
      <c r="G56" s="98"/>
      <c r="H56" s="98"/>
      <c r="I56" s="98"/>
      <c r="J56" s="98"/>
      <c r="K56" s="5"/>
    </row>
    <row r="57" spans="1:11">
      <c r="A57" s="98"/>
      <c r="B57" s="98"/>
      <c r="C57" s="98"/>
      <c r="D57" s="98"/>
      <c r="E57" s="98"/>
      <c r="F57" s="5"/>
      <c r="G57" s="233" t="s">
        <v>76</v>
      </c>
      <c r="H57" s="233"/>
      <c r="I57" s="98"/>
      <c r="J57" s="98"/>
      <c r="K57" s="5"/>
    </row>
    <row r="58" spans="1:11" ht="32.25" thickBot="1">
      <c r="A58" s="236">
        <v>5</v>
      </c>
      <c r="B58" s="100">
        <v>1</v>
      </c>
      <c r="C58" s="5"/>
      <c r="D58" s="106">
        <f>B58/B59+A58</f>
        <v>5.05</v>
      </c>
      <c r="E58" s="107" t="s">
        <v>4</v>
      </c>
      <c r="F58" s="235">
        <v>5.05</v>
      </c>
      <c r="G58" s="235"/>
      <c r="H58" s="237" t="str">
        <f>IF(B58="","",IF(B59="","",IF(F58="","",IF(F58=(A58*B59+B58)/B59,"J","L"))))</f>
        <v>J</v>
      </c>
      <c r="I58" s="203"/>
      <c r="J58" s="203"/>
      <c r="K58" s="5"/>
    </row>
    <row r="59" spans="1:11" ht="32.25" thickTop="1">
      <c r="A59" s="236"/>
      <c r="B59" s="101">
        <v>20</v>
      </c>
      <c r="C59" s="5"/>
      <c r="D59" s="106">
        <f>COUNTIF(A62:L69,"●")</f>
        <v>5</v>
      </c>
      <c r="E59" s="107" t="s">
        <v>3</v>
      </c>
      <c r="F59" s="235"/>
      <c r="G59" s="235"/>
      <c r="H59" s="237"/>
      <c r="I59" s="203"/>
      <c r="J59" s="203"/>
      <c r="K59" s="5"/>
    </row>
    <row r="60" spans="1:11">
      <c r="A60" s="5"/>
      <c r="B60" s="5"/>
      <c r="C60" s="5"/>
      <c r="D60" s="103">
        <f>B59-B58</f>
        <v>19</v>
      </c>
      <c r="E60" s="107" t="s">
        <v>1</v>
      </c>
      <c r="F60" s="6"/>
      <c r="G60" s="5"/>
      <c r="H60" s="202">
        <f>D61-D60</f>
        <v>1</v>
      </c>
      <c r="I60" s="203"/>
      <c r="J60" s="103">
        <v>61</v>
      </c>
      <c r="K60" s="5"/>
    </row>
    <row r="61" spans="1:11">
      <c r="A61" s="5"/>
      <c r="B61" s="5"/>
      <c r="C61" s="5"/>
      <c r="D61" s="103">
        <f>B59</f>
        <v>20</v>
      </c>
      <c r="E61" s="107" t="s">
        <v>2</v>
      </c>
      <c r="F61" s="103">
        <v>1</v>
      </c>
      <c r="G61" s="5"/>
      <c r="H61" s="202">
        <f>D60</f>
        <v>19</v>
      </c>
      <c r="I61" s="203"/>
      <c r="J61" s="103">
        <v>30</v>
      </c>
      <c r="K61" s="5"/>
    </row>
    <row r="62" spans="1:11" ht="117.75" customHeight="1">
      <c r="A62" s="96" t="str">
        <f>IF(D58=10,"●",IF(D58&gt;10,"●",""))</f>
        <v/>
      </c>
      <c r="B62" s="96" t="str">
        <f>IF(D58=9,"●",IF(D58&gt;9,"●",""))</f>
        <v/>
      </c>
      <c r="C62" s="96" t="str">
        <f>IF(D58=8,"●",IF(D58&gt;8,"●",""))</f>
        <v/>
      </c>
      <c r="D62" s="96" t="str">
        <f>IF(D58=7,"●",IF(D58&gt;7,"●",""))</f>
        <v/>
      </c>
      <c r="E62" s="96" t="str">
        <f>IF(D58=6,"●",IF(D58&gt;6,"●",""))</f>
        <v/>
      </c>
      <c r="F62" s="96" t="str">
        <f>IF(D58=5,"●",IF(D58&gt;5,"●",""))</f>
        <v>●</v>
      </c>
      <c r="G62" s="96" t="str">
        <f>IF(D58=4,"●",IF(D58&gt;4,"●",""))</f>
        <v>●</v>
      </c>
      <c r="H62" s="96" t="str">
        <f>IF(D58=3,"●",IF(D58&gt;3,"●",""))</f>
        <v>●</v>
      </c>
      <c r="I62" s="96" t="str">
        <f>IF(D58=2,"●",IF(D58&gt;2,"●",""))</f>
        <v>●</v>
      </c>
      <c r="J62" s="96" t="str">
        <f>IF(D58=1,"●",IF(D58&gt;1,"●",""))</f>
        <v>●</v>
      </c>
      <c r="K62" s="97"/>
    </row>
    <row r="63" spans="1:11">
      <c r="A63" s="105"/>
      <c r="B63" s="105"/>
      <c r="C63" s="105"/>
      <c r="D63" s="105"/>
      <c r="E63" s="105"/>
      <c r="F63" s="105"/>
      <c r="G63" s="105"/>
      <c r="H63" s="105"/>
      <c r="I63" s="105"/>
      <c r="J63" s="105"/>
      <c r="K63" s="97"/>
    </row>
    <row r="64" spans="1:11" ht="120" customHeight="1">
      <c r="A64" s="96" t="str">
        <f>IF(D58=20,"●",IF(D58&gt;20,"●",""))</f>
        <v/>
      </c>
      <c r="B64" s="96" t="str">
        <f>IF(D58=19,"●",IF(D58&gt;19,"●",""))</f>
        <v/>
      </c>
      <c r="C64" s="96" t="str">
        <f>IF(D58=18,"●",IF(D58&gt;18,"●",""))</f>
        <v/>
      </c>
      <c r="D64" s="96" t="str">
        <f>IF(D58=17,"●",IF(D58&gt;17,"●",""))</f>
        <v/>
      </c>
      <c r="E64" s="96" t="str">
        <f>IF(D58=16,"●",IF(D58&gt;16,"●",""))</f>
        <v/>
      </c>
      <c r="F64" s="96" t="str">
        <f>IF(D58=15,"●",IF(D58&gt;15,"●",""))</f>
        <v/>
      </c>
      <c r="G64" s="96" t="str">
        <f>IF(D58=14,"●",IF(D58&gt;14,"●",""))</f>
        <v/>
      </c>
      <c r="H64" s="96" t="str">
        <f>IF(D58=13,"●",IF(D58&gt;13,"●",""))</f>
        <v/>
      </c>
      <c r="I64" s="96" t="str">
        <f>IF(D58=12,"●",IF(D58&gt;12,"●",""))</f>
        <v/>
      </c>
      <c r="J64" s="96" t="str">
        <f>IF(D58=11,"●",IF(D58&gt;11,"●",""))</f>
        <v/>
      </c>
      <c r="K64" s="97"/>
    </row>
    <row r="65" spans="1:11" ht="285">
      <c r="A65" s="96" t="str">
        <f>IF(D58=29,"●",IF(D58&gt;29,"●",""))</f>
        <v/>
      </c>
      <c r="B65" s="96" t="str">
        <f>IF(D58=28,"●",IF(D58&gt;28,"●",""))</f>
        <v/>
      </c>
      <c r="C65" s="96" t="str">
        <f>IF(D58=28,"●",IF(D58&gt;28,"●",""))</f>
        <v/>
      </c>
      <c r="D65" s="96" t="str">
        <f>IF(D58=27,"●",IF(D58&gt;27,"●",""))</f>
        <v/>
      </c>
      <c r="E65" s="96" t="str">
        <f>IF(D58=26,"●",IF(D58&gt;26,"●",""))</f>
        <v/>
      </c>
      <c r="F65" s="96" t="str">
        <f>IF(D58=25,"●",IF(D58&gt;25,"●",""))</f>
        <v/>
      </c>
      <c r="G65" s="96" t="str">
        <f>IF(D58=24,"●",IF(D58&gt;24,"●",""))</f>
        <v/>
      </c>
      <c r="H65" s="96" t="str">
        <f>IF(D58=23,"●",IF(D58&gt;23,"●",""))</f>
        <v/>
      </c>
      <c r="I65" s="96" t="str">
        <f>IF(D58=22,"●",IF(D58&gt;22,"●",""))</f>
        <v/>
      </c>
      <c r="J65" s="96" t="str">
        <f>IF(D58=21,"●",IF(D58&gt;21,"●",""))</f>
        <v/>
      </c>
      <c r="K65" s="97"/>
    </row>
    <row r="66" spans="1:11">
      <c r="A66" s="104"/>
      <c r="B66" s="104"/>
      <c r="C66" s="104"/>
      <c r="D66" s="104"/>
      <c r="E66" s="104"/>
      <c r="F66" s="104"/>
      <c r="G66" s="104"/>
      <c r="H66" s="104"/>
      <c r="I66" s="104"/>
      <c r="J66" s="104" t="str">
        <f>IF(D58=31,"●",IF(D58&gt;31,"●",""))</f>
        <v/>
      </c>
      <c r="K66" s="97"/>
    </row>
    <row r="67" spans="1:11">
      <c r="A67" s="104"/>
      <c r="B67" s="104"/>
      <c r="C67" s="104"/>
      <c r="D67" s="104"/>
      <c r="E67" s="104"/>
      <c r="F67" s="104"/>
      <c r="G67" s="104"/>
      <c r="H67" s="104"/>
      <c r="I67" s="104"/>
      <c r="J67" s="104"/>
      <c r="K67" s="97"/>
    </row>
    <row r="73" spans="1:11"/>
  </sheetData>
  <sheetProtection password="C613" sheet="1" objects="1" scenarios="1"/>
  <mergeCells count="10">
    <mergeCell ref="G30:H30"/>
    <mergeCell ref="H15:H16"/>
    <mergeCell ref="F31:G32"/>
    <mergeCell ref="G46:H46"/>
    <mergeCell ref="A58:A59"/>
    <mergeCell ref="F47:G48"/>
    <mergeCell ref="H47:H48"/>
    <mergeCell ref="G57:H57"/>
    <mergeCell ref="F58:G59"/>
    <mergeCell ref="H58:H59"/>
  </mergeCells>
  <phoneticPr fontId="0" type="noConversion"/>
  <conditionalFormatting sqref="B31 B47 B58">
    <cfRule type="cellIs" dxfId="16" priority="1" stopIfTrue="1" operator="lessThan">
      <formula>$F$34</formula>
    </cfRule>
    <cfRule type="cellIs" dxfId="15" priority="2" stopIfTrue="1" operator="greaterThan">
      <formula>$J$33</formula>
    </cfRule>
  </conditionalFormatting>
  <conditionalFormatting sqref="F31:G32 F47:G48 F58:G59">
    <cfRule type="cellIs" dxfId="14" priority="3" stopIfTrue="1" operator="lessThan">
      <formula>0</formula>
    </cfRule>
    <cfRule type="cellIs" dxfId="13" priority="4" stopIfTrue="1" operator="greaterThan">
      <formula>$J$34</formula>
    </cfRule>
  </conditionalFormatting>
  <pageMargins left="0.75" right="0.75" top="1" bottom="1" header="0.5" footer="0.5"/>
  <pageSetup paperSize="9" orientation="portrait" horizontalDpi="0"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dimension ref="A1:AL125"/>
  <sheetViews>
    <sheetView workbookViewId="0">
      <selection sqref="A1:XFD1048576"/>
    </sheetView>
  </sheetViews>
  <sheetFormatPr defaultRowHeight="15"/>
  <cols>
    <col min="1" max="1" width="6" style="4" customWidth="1"/>
    <col min="2" max="2" width="5.625" style="4" customWidth="1"/>
    <col min="3" max="3" width="2.5" style="4" customWidth="1"/>
    <col min="4" max="4" width="7.25" style="4" customWidth="1"/>
    <col min="5" max="5" width="2.25" style="4" customWidth="1"/>
    <col min="6" max="37" width="2.125" style="4" customWidth="1"/>
    <col min="38" max="16384" width="9" style="4"/>
  </cols>
  <sheetData>
    <row r="1" spans="1:38" ht="47.2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4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s="99" customFormat="1" ht="22.5" customHeight="1">
      <c r="A3" s="20" t="s">
        <v>37</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s="99" customFormat="1" ht="22.5" customHeight="1">
      <c r="A4" s="20" t="s">
        <v>36</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s="99" customFormat="1" ht="22.5" customHeight="1">
      <c r="A5" s="20" t="s">
        <v>38</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s="99" customFormat="1" ht="12"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38" ht="31.5" customHeight="1" thickBot="1">
      <c r="A7" s="112">
        <v>1</v>
      </c>
      <c r="B7" s="3"/>
      <c r="C7" s="238" t="s">
        <v>8</v>
      </c>
      <c r="D7" s="239">
        <f>A7/A8</f>
        <v>0.33333333333333331</v>
      </c>
      <c r="E7" s="239"/>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27.75" customHeight="1" thickTop="1" thickBot="1">
      <c r="A8" s="113">
        <v>3</v>
      </c>
      <c r="B8" s="137">
        <f>A7/A8</f>
        <v>0.33333333333333331</v>
      </c>
      <c r="C8" s="238"/>
      <c r="D8" s="239"/>
      <c r="E8" s="239"/>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13.5" customHeight="1" thickTop="1" thickBot="1">
      <c r="A9" s="3"/>
      <c r="B9" s="3"/>
      <c r="C9" s="3"/>
      <c r="D9" s="3"/>
      <c r="E9" s="3"/>
      <c r="F9" s="138" t="str">
        <f>IF(B8=0.01,"J",IF(B8&gt;0.01,"J",""))</f>
        <v>J</v>
      </c>
      <c r="G9" s="139" t="str">
        <f>IF(B8=0.02,"J",IF(B8&gt;0.02,"J",""))</f>
        <v>J</v>
      </c>
      <c r="H9" s="139" t="str">
        <f>IF(B8=0.03,"J",IF(B8&gt;0.03,"J",""))</f>
        <v>J</v>
      </c>
      <c r="I9" s="139" t="str">
        <f>IF(B8=0.04,"J",IF(B8&gt;0.04,"J",""))</f>
        <v>J</v>
      </c>
      <c r="J9" s="139" t="str">
        <f>IF(B8=0.05,"J",IF(B8&gt;0.05,"J",""))</f>
        <v>J</v>
      </c>
      <c r="K9" s="139" t="str">
        <f>IF(B8=0.06,"J",IF(B8&gt;0.06,"J",""))</f>
        <v>J</v>
      </c>
      <c r="L9" s="139" t="str">
        <f>IF(B8=0.07,"J",IF(B8&gt;0.07,"J",""))</f>
        <v>J</v>
      </c>
      <c r="M9" s="139" t="str">
        <f>IF(B8=0.08,"J",IF(B8&gt;0.08,"J",""))</f>
        <v>J</v>
      </c>
      <c r="N9" s="139" t="str">
        <f>IF(B8=0.09,"J",IF(B8&gt;0.09,"J",""))</f>
        <v>J</v>
      </c>
      <c r="O9" s="140" t="str">
        <f>IF(B8=0.1,"J",IF(B8&gt;0.1,"J",""))</f>
        <v>J</v>
      </c>
      <c r="P9" s="3"/>
      <c r="Q9" s="138" t="str">
        <f>IF(B8=1.01,"J",IF(B8&gt;1.01,"J",""))</f>
        <v/>
      </c>
      <c r="R9" s="139" t="str">
        <f>IF(B8=1.02,"J",IF(B8&gt;1.02,"J",""))</f>
        <v/>
      </c>
      <c r="S9" s="139" t="str">
        <f>IF(B8=1.03,"J",IF(B8&gt;1.03,"J",""))</f>
        <v/>
      </c>
      <c r="T9" s="139" t="str">
        <f>IF(B8=1.04,"J",IF(B8&gt;1.04,"J",""))</f>
        <v/>
      </c>
      <c r="U9" s="139" t="str">
        <f>IF(B8=1.05,"J",IF(B8&gt;1.05,"J",""))</f>
        <v/>
      </c>
      <c r="V9" s="139" t="str">
        <f>IF(B8=1.06,"J",IF(B8&gt;1.06,"J",""))</f>
        <v/>
      </c>
      <c r="W9" s="139" t="str">
        <f>IF(B8=1.07,"J",IF(B8&gt;1.07,"J",""))</f>
        <v/>
      </c>
      <c r="X9" s="139" t="str">
        <f>IF(B8=1.08,"J",IF(B8&gt;1.08,"J",""))</f>
        <v/>
      </c>
      <c r="Y9" s="139" t="str">
        <f>IF(B8=1.09,"J",IF(B8&gt;1.09,"J",""))</f>
        <v/>
      </c>
      <c r="Z9" s="140" t="str">
        <f>IF(B8=1.1,"J",IF(B8&gt;1.1,"J",""))</f>
        <v/>
      </c>
      <c r="AA9" s="3"/>
      <c r="AB9" s="138" t="str">
        <f>IF(B8=2.01,"J",IF(B8&gt;2.01,"J",""))</f>
        <v/>
      </c>
      <c r="AC9" s="139" t="str">
        <f>IF(B8=2.02,"J",IF(B8&gt;2.02,"J",""))</f>
        <v/>
      </c>
      <c r="AD9" s="139" t="str">
        <f>IF(B8=2.03,"J",IF(B8&gt;2.03,"J",""))</f>
        <v/>
      </c>
      <c r="AE9" s="139" t="str">
        <f>IF(B8=2.04,"J",IF(B8&gt;2.04,"J",""))</f>
        <v/>
      </c>
      <c r="AF9" s="139" t="str">
        <f>IF(B8=2.05,"J",IF(B8&gt;2.05,"J",""))</f>
        <v/>
      </c>
      <c r="AG9" s="139" t="str">
        <f>IF(B8=2.06,"J",IF(B8&gt;2.06,"J",""))</f>
        <v/>
      </c>
      <c r="AH9" s="139" t="str">
        <f>IF(B8=2.07,"J",IF(B8&gt;2.07,"J",""))</f>
        <v/>
      </c>
      <c r="AI9" s="139" t="str">
        <f>IF(B8=2.08,"J",IF(B8&gt;2.08,"J",""))</f>
        <v/>
      </c>
      <c r="AJ9" s="139" t="str">
        <f>IF(B8=2.09,"J",IF(B8&gt;2.09,"J",""))</f>
        <v/>
      </c>
      <c r="AK9" s="140" t="str">
        <f>IF(B8=2.1,"J",IF(B8&gt;2.1,"J",""))</f>
        <v/>
      </c>
      <c r="AL9" s="3"/>
    </row>
    <row r="10" spans="1:38" ht="13.5" customHeight="1" thickBot="1">
      <c r="A10" s="3"/>
      <c r="B10" s="141" t="s">
        <v>11</v>
      </c>
      <c r="C10" s="3"/>
      <c r="D10" s="3"/>
      <c r="E10" s="3"/>
      <c r="F10" s="142" t="str">
        <f>IF(B8=0.11,"J",IF(B8&gt;0.11,"J",""))</f>
        <v>J</v>
      </c>
      <c r="G10" s="143" t="str">
        <f>IF(B8=0.12,"J",IF(B8&gt;0.12,"J",""))</f>
        <v>J</v>
      </c>
      <c r="H10" s="143" t="str">
        <f>IF(B8=0.13,"J",IF(B8&gt;0.13,"J",""))</f>
        <v>J</v>
      </c>
      <c r="I10" s="143" t="str">
        <f>IF(B8=0.14,"J",IF(B8&gt;0.14,"J",""))</f>
        <v>J</v>
      </c>
      <c r="J10" s="143" t="str">
        <f>IF(B8=0.15,"J",IF(B8&gt;0.15,"J",""))</f>
        <v>J</v>
      </c>
      <c r="K10" s="143" t="str">
        <f>IF(B8=0.16,"J",IF(B8&gt;0.16,"J",""))</f>
        <v>J</v>
      </c>
      <c r="L10" s="143" t="str">
        <f>IF(B8=0.17,"J",IF(B8&gt;0.17,"J",""))</f>
        <v>J</v>
      </c>
      <c r="M10" s="143" t="str">
        <f>IF(B8=0.18,"J",IF(B8&gt;0.18,"J",""))</f>
        <v>J</v>
      </c>
      <c r="N10" s="143" t="str">
        <f>IF(B8=0.19,"J",IF(B8&gt;0.19,"J",""))</f>
        <v>J</v>
      </c>
      <c r="O10" s="144" t="str">
        <f>IF(B8=0.2,"J",IF(B8&gt;0.2,"J",""))</f>
        <v>J</v>
      </c>
      <c r="P10" s="3"/>
      <c r="Q10" s="142" t="str">
        <f>IF(B8=1.11,"J",IF(B8&gt;1.11,"J",""))</f>
        <v/>
      </c>
      <c r="R10" s="143" t="str">
        <f>IF(B8=1.12,"J",IF(B8&gt;1.12,"J",""))</f>
        <v/>
      </c>
      <c r="S10" s="143" t="str">
        <f>IF(B8=1.13,"J",IF(B8&gt;1.13,"J",""))</f>
        <v/>
      </c>
      <c r="T10" s="143" t="str">
        <f>IF(B8=1.14,"J",IF(B8&gt;1.14,"J",""))</f>
        <v/>
      </c>
      <c r="U10" s="143" t="str">
        <f>IF(B8=1.15,"J",IF(B8&gt;1.15,"J",""))</f>
        <v/>
      </c>
      <c r="V10" s="143" t="str">
        <f>IF(B8=1.16,"J",IF(B8&gt;1.16,"J",""))</f>
        <v/>
      </c>
      <c r="W10" s="143" t="str">
        <f>IF(B8=1.17,"J",IF(B8&gt;1.17,"J",""))</f>
        <v/>
      </c>
      <c r="X10" s="143" t="str">
        <f>IF(B8=1.18,"J",IF(B8&gt;1.18,"J",""))</f>
        <v/>
      </c>
      <c r="Y10" s="143" t="str">
        <f>IF(B8=1.19,"J",IF(B8&gt;1.19,"J",""))</f>
        <v/>
      </c>
      <c r="Z10" s="144" t="str">
        <f>IF(B8=1.2,"J",IF(B8&gt;1.2,"J",""))</f>
        <v/>
      </c>
      <c r="AA10" s="3"/>
      <c r="AB10" s="142" t="str">
        <f>IF(B8=2.11,"J",IF(B8&gt;2.11,"J",""))</f>
        <v/>
      </c>
      <c r="AC10" s="143" t="str">
        <f>IF(B8=2.12,"J",IF(B8&gt;2.12,"J",""))</f>
        <v/>
      </c>
      <c r="AD10" s="143" t="str">
        <f>IF(B8=2.13,"J",IF(B8&gt;2.13,"J",""))</f>
        <v/>
      </c>
      <c r="AE10" s="143" t="str">
        <f>IF(B8=2.14,"J",IF(B8&gt;2.14,"J",""))</f>
        <v/>
      </c>
      <c r="AF10" s="143" t="str">
        <f>IF(B8=2.15,"J",IF(B8&gt;2.15,"J",""))</f>
        <v/>
      </c>
      <c r="AG10" s="143" t="str">
        <f>IF(B8=2.16,"J",IF(B8&gt;2.16,"J",""))</f>
        <v/>
      </c>
      <c r="AH10" s="143" t="str">
        <f>IF(B8=2.17,"J",IF(B8&gt;2.17,"J",""))</f>
        <v/>
      </c>
      <c r="AI10" s="143" t="str">
        <f>IF(B8=2.18,"J",IF(B8&gt;2.18,"J",""))</f>
        <v/>
      </c>
      <c r="AJ10" s="143" t="str">
        <f>IF(B8=2.19,"J",IF(B8&gt;2.19,"J",""))</f>
        <v/>
      </c>
      <c r="AK10" s="144" t="str">
        <f>IF(B8=2.2,"J",IF(B8&gt;2.2,"J",""))</f>
        <v/>
      </c>
      <c r="AL10" s="3"/>
    </row>
    <row r="11" spans="1:38" ht="13.5" customHeight="1" thickBot="1">
      <c r="A11" s="3"/>
      <c r="B11" s="141"/>
      <c r="C11" s="3"/>
      <c r="D11" s="3"/>
      <c r="E11" s="3"/>
      <c r="F11" s="142" t="str">
        <f>IF(B8=0.21,"J",IF(B8&gt;0.21,"J",""))</f>
        <v>J</v>
      </c>
      <c r="G11" s="143" t="str">
        <f>IF(B8=0.22,"J",IF(B8&gt;0.22,"J",""))</f>
        <v>J</v>
      </c>
      <c r="H11" s="143" t="str">
        <f>IF(B8=0.23,"J",IF(B8&gt;0.23,"J",""))</f>
        <v>J</v>
      </c>
      <c r="I11" s="143" t="str">
        <f>IF(B8=0.24,"J",IF(B8&gt;0.24,"J",""))</f>
        <v>J</v>
      </c>
      <c r="J11" s="143" t="str">
        <f>IF(B8=0.25,"J",IF(B8&gt;0.25,"J",""))</f>
        <v>J</v>
      </c>
      <c r="K11" s="143" t="str">
        <f>IF(B8=0.26,"J",IF(B8&gt;0.26,"J",""))</f>
        <v>J</v>
      </c>
      <c r="L11" s="143" t="str">
        <f>IF(B8=0.27,"J",IF(B8&gt;0.27,"J",""))</f>
        <v>J</v>
      </c>
      <c r="M11" s="143" t="str">
        <f>IF(B8=0.28,"J",IF(B8&gt;0.28,"J",""))</f>
        <v>J</v>
      </c>
      <c r="N11" s="143" t="str">
        <f>IF(B8=0.29,"J",IF(B8&gt;0.29,"J",""))</f>
        <v>J</v>
      </c>
      <c r="O11" s="144" t="str">
        <f>IF(B8=0.3,"J",IF(B8&gt;0.3,"J",""))</f>
        <v>J</v>
      </c>
      <c r="P11" s="3"/>
      <c r="Q11" s="142" t="str">
        <f>IF(B8=1.21,"J",IF(B8&gt;1.21,"J",""))</f>
        <v/>
      </c>
      <c r="R11" s="143" t="str">
        <f>IF(B8=1.22,"J",IF(B8&gt;1.22,"J",""))</f>
        <v/>
      </c>
      <c r="S11" s="143" t="str">
        <f>IF(B8=1.23,"J",IF(B8&gt;1.23,"J",""))</f>
        <v/>
      </c>
      <c r="T11" s="143" t="str">
        <f>IF(B8=1.24,"J",IF(B8&gt;1.24,"J",""))</f>
        <v/>
      </c>
      <c r="U11" s="143" t="str">
        <f>IF(B8=1.25,"J",IF(B8&gt;1.25,"J",""))</f>
        <v/>
      </c>
      <c r="V11" s="143" t="str">
        <f>IF(B8=1.26,"J",IF(B8&gt;1.26,"J",""))</f>
        <v/>
      </c>
      <c r="W11" s="143" t="str">
        <f>IF(B8=1.27,"J",IF(B8&gt;1.27,"J",""))</f>
        <v/>
      </c>
      <c r="X11" s="143" t="str">
        <f>IF(B8=1.28,"J",IF(B8&gt;1.28,"J",""))</f>
        <v/>
      </c>
      <c r="Y11" s="143" t="str">
        <f>IF(B8=1.29,"J",IF(B8&gt;1.29,"J",""))</f>
        <v/>
      </c>
      <c r="Z11" s="144" t="str">
        <f>IF(B8=1.3,"J",IF(B8&gt;1.3,"J",""))</f>
        <v/>
      </c>
      <c r="AA11" s="3"/>
      <c r="AB11" s="142" t="str">
        <f>IF(B8=2.21,"J",IF(B8&gt;2.21,"J",""))</f>
        <v/>
      </c>
      <c r="AC11" s="143" t="str">
        <f>IF(B8=2.22,"J",IF(B8&gt;2.22,"J",""))</f>
        <v/>
      </c>
      <c r="AD11" s="143" t="str">
        <f>IF(B8=2.23,"J",IF(B8&gt;2.23,"J",""))</f>
        <v/>
      </c>
      <c r="AE11" s="143" t="str">
        <f>IF(B8=2.24,"J",IF(B8&gt;2.24,"J",""))</f>
        <v/>
      </c>
      <c r="AF11" s="143" t="str">
        <f>IF(B8=2.25,"J",IF(B8&gt;2.25,"J",""))</f>
        <v/>
      </c>
      <c r="AG11" s="143" t="str">
        <f>IF(B8=2.26,"J",IF(B8&gt;2.26,"J",""))</f>
        <v/>
      </c>
      <c r="AH11" s="143" t="str">
        <f>IF(B8=2.27,"J",IF(B8&gt;2.27,"J",""))</f>
        <v/>
      </c>
      <c r="AI11" s="143" t="str">
        <f>IF(B8=2.28,"J",IF(B8&gt;2.28,"J",""))</f>
        <v/>
      </c>
      <c r="AJ11" s="143" t="str">
        <f>IF(B8=2.29,"J",IF(B8&gt;2.29,"J",""))</f>
        <v/>
      </c>
      <c r="AK11" s="144" t="str">
        <f>IF(B8=2.3,"J",IF(B8&gt;2.3,"J",""))</f>
        <v/>
      </c>
      <c r="AL11" s="3"/>
    </row>
    <row r="12" spans="1:38" ht="13.5" customHeight="1" thickBot="1">
      <c r="A12" s="3"/>
      <c r="B12" s="3"/>
      <c r="C12" s="3"/>
      <c r="D12" s="3"/>
      <c r="E12" s="3"/>
      <c r="F12" s="142" t="str">
        <f>IF(B8=0.31,"J",IF(B8&gt;0.31,"J",""))</f>
        <v>J</v>
      </c>
      <c r="G12" s="143" t="str">
        <f>IF(B8=0.32,"J",IF(B8&gt;0.32,"J",""))</f>
        <v>J</v>
      </c>
      <c r="H12" s="143" t="str">
        <f>IF(B8=0.33,"J",IF(B8&gt;0.33,"J",""))</f>
        <v>J</v>
      </c>
      <c r="I12" s="143" t="str">
        <f>IF(B8=0.34,"J",IF(B8&gt;0.34,"J",""))</f>
        <v/>
      </c>
      <c r="J12" s="143" t="str">
        <f>IF(B8=0.35,"J",IF(B8&gt;0.35,"J",""))</f>
        <v/>
      </c>
      <c r="K12" s="143" t="str">
        <f>IF(B8=0.36,"J",IF(B8&gt;0.36,"J",""))</f>
        <v/>
      </c>
      <c r="L12" s="143" t="str">
        <f>IF(B8=0.37,"J",IF(B8&gt;0.37,"J",""))</f>
        <v/>
      </c>
      <c r="M12" s="143" t="str">
        <f>IF(B8=0.38,"J",IF(B8&gt;0.38,"J",""))</f>
        <v/>
      </c>
      <c r="N12" s="143" t="str">
        <f>IF(B8=0.39,"J",IF(B8&gt;0.39,"J",""))</f>
        <v/>
      </c>
      <c r="O12" s="144" t="str">
        <f>IF(B8=0.4,"J",IF(B8&gt;0.4,"J",""))</f>
        <v/>
      </c>
      <c r="P12" s="3"/>
      <c r="Q12" s="142" t="str">
        <f>IF(B8=1.31,"J",IF(B8&gt;1.31,"J",""))</f>
        <v/>
      </c>
      <c r="R12" s="143" t="str">
        <f>IF(B8=1.32,"J",IF(B8&gt;1.32,"J",""))</f>
        <v/>
      </c>
      <c r="S12" s="143" t="str">
        <f>IF(B8=1.33,"J",IF(B8&gt;1.33,"J",""))</f>
        <v/>
      </c>
      <c r="T12" s="143" t="str">
        <f>IF(B8=1.34,"J",IF(B8&gt;1.34,"J",""))</f>
        <v/>
      </c>
      <c r="U12" s="143" t="str">
        <f>IF(B8=1.35,"J",IF(B8&gt;1.35,"J",""))</f>
        <v/>
      </c>
      <c r="V12" s="143" t="str">
        <f>IF(B8=1.36,"J",IF(B8&gt;1.36,"J",""))</f>
        <v/>
      </c>
      <c r="W12" s="143" t="str">
        <f>IF(B8=1.37,"J",IF(B8&gt;1.37,"J",""))</f>
        <v/>
      </c>
      <c r="X12" s="143" t="str">
        <f>IF(B8=1.38,"J",IF(B8&gt;1.38,"J",""))</f>
        <v/>
      </c>
      <c r="Y12" s="143" t="str">
        <f>IF(B8=1.39,"J",IF(B8&gt;1.39,"J",""))</f>
        <v/>
      </c>
      <c r="Z12" s="144" t="str">
        <f>IF(B8=1.4,"J",IF(B8&gt;1.4,"J",""))</f>
        <v/>
      </c>
      <c r="AA12" s="3"/>
      <c r="AB12" s="142" t="str">
        <f>IF(B8=2.31,"J",IF(B8&gt;2.31,"J",""))</f>
        <v/>
      </c>
      <c r="AC12" s="143" t="str">
        <f>IF(B8=2.32,"J",IF(B8&gt;2.32,"J",""))</f>
        <v/>
      </c>
      <c r="AD12" s="143" t="str">
        <f>IF(B8=2.33,"J",IF(B8&gt;2.33,"J",""))</f>
        <v/>
      </c>
      <c r="AE12" s="143" t="str">
        <f>IF(B8=2.34,"J",IF(B8&gt;2.34,"J",""))</f>
        <v/>
      </c>
      <c r="AF12" s="143" t="str">
        <f>IF(B8=2.35,"J",IF(B8&gt;2.35,"J",""))</f>
        <v/>
      </c>
      <c r="AG12" s="143" t="str">
        <f>IF(B8=2.36,"J",IF(B8&gt;2.36,"J",""))</f>
        <v/>
      </c>
      <c r="AH12" s="143" t="str">
        <f>IF(B8=2.37,"J",IF(B8&gt;2.37,"J",""))</f>
        <v/>
      </c>
      <c r="AI12" s="143" t="str">
        <f>IF(B8=2.38,"J",IF(B8&gt;2.38,"J",""))</f>
        <v/>
      </c>
      <c r="AJ12" s="143" t="str">
        <f>IF(B8=2.39,"J",IF(B8&gt;2.39,"J",""))</f>
        <v/>
      </c>
      <c r="AK12" s="144" t="str">
        <f>IF(B8=2.4,"J",IF(B8&gt;2.4,"J",""))</f>
        <v/>
      </c>
      <c r="AL12" s="3"/>
    </row>
    <row r="13" spans="1:38" ht="13.5" customHeight="1" thickBot="1">
      <c r="A13" s="3"/>
      <c r="B13" s="3"/>
      <c r="C13" s="3"/>
      <c r="D13" s="3"/>
      <c r="E13" s="3"/>
      <c r="F13" s="142" t="str">
        <f>IF(B8=0.41,"J",IF(B8&gt;0.41,"J",""))</f>
        <v/>
      </c>
      <c r="G13" s="143" t="str">
        <f>IF(B8=0.42,"J",IF(B8&gt;0.42,"J",""))</f>
        <v/>
      </c>
      <c r="H13" s="143" t="str">
        <f>IF(B8=0.43,"J",IF(B8&gt;0.43,"J",""))</f>
        <v/>
      </c>
      <c r="I13" s="143" t="str">
        <f>IF(B8=0.44,"J",IF(B8&gt;0.44,"J",""))</f>
        <v/>
      </c>
      <c r="J13" s="143" t="str">
        <f>IF(B8=0.45,"J",IF(B8&gt;0.45,"J",""))</f>
        <v/>
      </c>
      <c r="K13" s="143" t="str">
        <f>IF(B8=0.46,"J",IF(B8&gt;0.46,"J",""))</f>
        <v/>
      </c>
      <c r="L13" s="143" t="str">
        <f>IF(B8=0.47,"J",IF(B8&gt;0.47,"J",""))</f>
        <v/>
      </c>
      <c r="M13" s="143" t="str">
        <f>IF(B8=0.48,"J",IF(B8&gt;0.48,"J",""))</f>
        <v/>
      </c>
      <c r="N13" s="143" t="str">
        <f>IF(B8=0.49,"J",IF(B8&gt;0.49,"J",""))</f>
        <v/>
      </c>
      <c r="O13" s="144" t="str">
        <f>IF(B8=0.5,"J",IF(B8&gt;0.5,"J",""))</f>
        <v/>
      </c>
      <c r="P13" s="3"/>
      <c r="Q13" s="142" t="str">
        <f>IF(B8=1.41,"J",IF(B8&gt;1.41,"J",""))</f>
        <v/>
      </c>
      <c r="R13" s="143" t="str">
        <f>IF(B8=1.42,"J",IF(B8&gt;1.42,"J",""))</f>
        <v/>
      </c>
      <c r="S13" s="143" t="str">
        <f>IF(B8=1.43,"J",IF(B8&gt;1.43,"J",""))</f>
        <v/>
      </c>
      <c r="T13" s="143" t="str">
        <f>IF(B8=1.44,"J",IF(B8&gt;1.44,"J",""))</f>
        <v/>
      </c>
      <c r="U13" s="143" t="str">
        <f>IF(B8=1.45,"J",IF(B8&gt;1.45,"J",""))</f>
        <v/>
      </c>
      <c r="V13" s="143" t="str">
        <f>IF(B8=1.46,"J",IF(B8&gt;1.46,"J",""))</f>
        <v/>
      </c>
      <c r="W13" s="143" t="str">
        <f>IF(B8=1.47,"J",IF(B8&gt;1.47,"J",""))</f>
        <v/>
      </c>
      <c r="X13" s="143" t="str">
        <f>IF(B8=1.48,"J",IF(B8&gt;1.48,"J",""))</f>
        <v/>
      </c>
      <c r="Y13" s="143" t="str">
        <f>IF(B8=1.49,"J",IF(B8&gt;1.49,"J",""))</f>
        <v/>
      </c>
      <c r="Z13" s="144" t="str">
        <f>IF(B8=1.5,"J",IF(B8&gt;1.5,"J",""))</f>
        <v/>
      </c>
      <c r="AA13" s="3"/>
      <c r="AB13" s="142" t="str">
        <f>IF(B8=2.41,"J",IF(B8&gt;2.41,"J",""))</f>
        <v/>
      </c>
      <c r="AC13" s="143" t="str">
        <f>IF(B8=2.42,"J",IF(B8&gt;2.42,"J",""))</f>
        <v/>
      </c>
      <c r="AD13" s="143" t="str">
        <f>IF(B8=2.43,"J",IF(B8&gt;2.43,"J",""))</f>
        <v/>
      </c>
      <c r="AE13" s="143" t="str">
        <f>IF(B8=2.44,"J",IF(B8&gt;2.44,"J",""))</f>
        <v/>
      </c>
      <c r="AF13" s="143" t="str">
        <f>IF(B8=2.45,"J",IF(B8&gt;2.45,"J",""))</f>
        <v/>
      </c>
      <c r="AG13" s="143" t="str">
        <f>IF(B8=2.46,"J",IF(B8&gt;2.46,"J",""))</f>
        <v/>
      </c>
      <c r="AH13" s="143" t="str">
        <f>IF(B8=2.47,"J",IF(B8&gt;2.47,"J",""))</f>
        <v/>
      </c>
      <c r="AI13" s="143" t="str">
        <f>IF(B8=2.48,"J",IF(B8&gt;2.48,"J",""))</f>
        <v/>
      </c>
      <c r="AJ13" s="143" t="str">
        <f>IF(B8=2.49,"J",IF(B8&gt;2.49,"J",""))</f>
        <v/>
      </c>
      <c r="AK13" s="144" t="str">
        <f>IF(B8=2.5,"J",IF(B8&gt;2.5,"J",""))</f>
        <v/>
      </c>
      <c r="AL13" s="3"/>
    </row>
    <row r="14" spans="1:38" ht="13.5" customHeight="1" thickBot="1">
      <c r="A14" s="3"/>
      <c r="B14" s="3"/>
      <c r="C14" s="3"/>
      <c r="D14" s="3"/>
      <c r="E14" s="3"/>
      <c r="F14" s="142" t="str">
        <f>IF(B8=0.51,"J",IF(B8&gt;0.51,"J",""))</f>
        <v/>
      </c>
      <c r="G14" s="143" t="str">
        <f>IF(B8=0.52,"J",IF(B8&gt;0.52,"J",""))</f>
        <v/>
      </c>
      <c r="H14" s="143" t="str">
        <f>IF(B8=0.53,"J",IF(B8&gt;0.53,"J",""))</f>
        <v/>
      </c>
      <c r="I14" s="143" t="str">
        <f>IF(B8=0.54,"J",IF(B8&gt;0.54,"J",""))</f>
        <v/>
      </c>
      <c r="J14" s="143" t="str">
        <f>IF(B8=0.55,"J",IF(B8&gt;0.55,"J",""))</f>
        <v/>
      </c>
      <c r="K14" s="143" t="str">
        <f>IF(B8=0.56,"J",IF(B8&gt;0.56,"J",""))</f>
        <v/>
      </c>
      <c r="L14" s="143" t="str">
        <f>IF(B8=0.57,"J",IF(B8&gt;0.57,"J",""))</f>
        <v/>
      </c>
      <c r="M14" s="143" t="str">
        <f>IF(B8=0.58,"J",IF(B8&gt;0.58,"J",""))</f>
        <v/>
      </c>
      <c r="N14" s="143" t="str">
        <f>IF(B8=0.59,"J",IF(B8&gt;0.59,"J",""))</f>
        <v/>
      </c>
      <c r="O14" s="144" t="str">
        <f>IF(B8=0.6,"J",IF(B8&gt;0.6,"J",""))</f>
        <v/>
      </c>
      <c r="P14" s="3"/>
      <c r="Q14" s="142" t="str">
        <f>IF(B8=1.51,"J",IF(B8&gt;1.51,"J",""))</f>
        <v/>
      </c>
      <c r="R14" s="143" t="str">
        <f>IF(B8=1.52,"J",IF(B8&gt;1.52,"J",""))</f>
        <v/>
      </c>
      <c r="S14" s="143" t="str">
        <f>IF(B8=1.53,"J",IF(B8&gt;1.53,"J",""))</f>
        <v/>
      </c>
      <c r="T14" s="143" t="str">
        <f>IF(B8=1.54,"J",IF(B8&gt;1.54,"J",""))</f>
        <v/>
      </c>
      <c r="U14" s="143" t="str">
        <f>IF(B8=1.55,"J",IF(B8&gt;1.55,"J",""))</f>
        <v/>
      </c>
      <c r="V14" s="143" t="str">
        <f>IF(B8=1.56,"J",IF(B8&gt;1.56,"J",""))</f>
        <v/>
      </c>
      <c r="W14" s="143" t="str">
        <f>IF(B8=1.57,"J",IF(B8&gt;1.57,"J",""))</f>
        <v/>
      </c>
      <c r="X14" s="143" t="str">
        <f>IF(B8=1.58,"J",IF(B8&gt;1.58,"J",""))</f>
        <v/>
      </c>
      <c r="Y14" s="143" t="str">
        <f>IF(B8=1.59,"J",IF(B8&gt;1.59,"J",""))</f>
        <v/>
      </c>
      <c r="Z14" s="144" t="str">
        <f>IF(B8=1.6,"J",IF(B8&gt;1.6,"J",""))</f>
        <v/>
      </c>
      <c r="AA14" s="3"/>
      <c r="AB14" s="142" t="str">
        <f>IF(B8=2.51,"J",IF(B8&gt;2.51,"J",""))</f>
        <v/>
      </c>
      <c r="AC14" s="143" t="str">
        <f>IF(B8=2.52,"J",IF(B8&gt;2.52,"J",""))</f>
        <v/>
      </c>
      <c r="AD14" s="143" t="str">
        <f>IF(B8=2.53,"J",IF(B8&gt;2.53,"J",""))</f>
        <v/>
      </c>
      <c r="AE14" s="143" t="str">
        <f>IF(B8=2.54,"J",IF(B8&gt;2.54,"J",""))</f>
        <v/>
      </c>
      <c r="AF14" s="143" t="str">
        <f>IF(B8=2.55,"J",IF(B8&gt;2.55,"J",""))</f>
        <v/>
      </c>
      <c r="AG14" s="143" t="str">
        <f>IF(B8=2.56,"J",IF(B8&gt;2.56,"J",""))</f>
        <v/>
      </c>
      <c r="AH14" s="143" t="str">
        <f>IF(B8=2.57,"J",IF(B8&gt;2.57,"J",""))</f>
        <v/>
      </c>
      <c r="AI14" s="143" t="str">
        <f>IF(B8=2.58,"J",IF(B8&gt;2.58,"J",""))</f>
        <v/>
      </c>
      <c r="AJ14" s="143" t="str">
        <f>IF(B8=2.59,"J",IF(B8&gt;2.59,"J",""))</f>
        <v/>
      </c>
      <c r="AK14" s="144" t="str">
        <f>IF(B8=2.6,"J",IF(B8&gt;2.6,"J",""))</f>
        <v/>
      </c>
      <c r="AL14" s="3"/>
    </row>
    <row r="15" spans="1:38" ht="13.5" customHeight="1" thickBot="1">
      <c r="A15" s="3"/>
      <c r="B15" s="3"/>
      <c r="C15" s="3"/>
      <c r="D15" s="3"/>
      <c r="E15" s="3"/>
      <c r="F15" s="142" t="str">
        <f>IF(B8=0.61,"J",IF(B8&gt;0.61,"J",""))</f>
        <v/>
      </c>
      <c r="G15" s="143" t="str">
        <f>IF(B8=0.62,"J",IF(B8&gt;0.62,"J",""))</f>
        <v/>
      </c>
      <c r="H15" s="143" t="str">
        <f>IF(B8=0.63,"J",IF(B8&gt;0.63,"J",""))</f>
        <v/>
      </c>
      <c r="I15" s="143" t="str">
        <f>IF(B8=0.64,"J",IF(B8&gt;0.64,"J",""))</f>
        <v/>
      </c>
      <c r="J15" s="143" t="str">
        <f>IF(B8=0.65,"J",IF(B8&gt;0.65,"J",""))</f>
        <v/>
      </c>
      <c r="K15" s="143" t="str">
        <f>IF(B8=0.66,"J",IF(B8&gt;0.66,"J",""))</f>
        <v/>
      </c>
      <c r="L15" s="143" t="str">
        <f>IF(B8=0.67,"J",IF(B8&gt;0.67,"J",""))</f>
        <v/>
      </c>
      <c r="M15" s="143" t="str">
        <f>IF(B8=0.68,"J",IF(B8&gt;0.68,"J",""))</f>
        <v/>
      </c>
      <c r="N15" s="143" t="str">
        <f>IF(B8=0.69,"J",IF(B8&gt;0.69,"J",""))</f>
        <v/>
      </c>
      <c r="O15" s="144" t="str">
        <f>IF(B8=0.7,"J",IF(B8&gt;0.7,"J",""))</f>
        <v/>
      </c>
      <c r="P15" s="3"/>
      <c r="Q15" s="142" t="str">
        <f>IF(B8=1.61,"J",IF(B8&gt;1.61,"J",""))</f>
        <v/>
      </c>
      <c r="R15" s="143" t="str">
        <f>IF(B8=1.62,"J",IF(B8&gt;1.62,"J",""))</f>
        <v/>
      </c>
      <c r="S15" s="143" t="str">
        <f>IF(B8=1.63,"J",IF(B8&gt;1.63,"J",""))</f>
        <v/>
      </c>
      <c r="T15" s="143" t="str">
        <f>IF(B8=1.64,"J",IF(B8&gt;1.64,"J",""))</f>
        <v/>
      </c>
      <c r="U15" s="143" t="str">
        <f>IF(B8=1.65,"J",IF(B8&gt;1.65,"J",""))</f>
        <v/>
      </c>
      <c r="V15" s="143" t="str">
        <f>IF(B8=1.66,"J",IF(B8&gt;1.66,"J",""))</f>
        <v/>
      </c>
      <c r="W15" s="143" t="str">
        <f>IF(B8=1.67,"J",IF(B8&gt;1.67,"J",""))</f>
        <v/>
      </c>
      <c r="X15" s="143" t="str">
        <f>IF(B8=1.68,"J",IF(B8&gt;1.68,"J",""))</f>
        <v/>
      </c>
      <c r="Y15" s="143" t="str">
        <f>IF(B8=1.69,"J",IF(B8&gt;1.69,"J",""))</f>
        <v/>
      </c>
      <c r="Z15" s="144" t="str">
        <f>IF(B8=1.7,"J",IF(B8&gt;1.7,"J",""))</f>
        <v/>
      </c>
      <c r="AA15" s="3"/>
      <c r="AB15" s="142" t="str">
        <f>IF(B8=2.61,"J",IF(B8&gt;2.61,"J",""))</f>
        <v/>
      </c>
      <c r="AC15" s="143" t="str">
        <f>IF(B8=2.62,"J",IF(B8&gt;2.62,"J",""))</f>
        <v/>
      </c>
      <c r="AD15" s="143" t="str">
        <f>IF(B8=2.63,"J",IF(B8&gt;2.63,"J",""))</f>
        <v/>
      </c>
      <c r="AE15" s="143" t="str">
        <f>IF(B8=2.64,"J",IF(B8&gt;2.64,"J",""))</f>
        <v/>
      </c>
      <c r="AF15" s="143" t="str">
        <f>IF(B8=2.65,"J",IF(B8&gt;2.65,"J",""))</f>
        <v/>
      </c>
      <c r="AG15" s="143" t="str">
        <f>IF(B8=2.66,"J",IF(B8&gt;2.66,"J",""))</f>
        <v/>
      </c>
      <c r="AH15" s="143" t="str">
        <f>IF(B8=2.67,"J",IF(B8&gt;2.67,"J",""))</f>
        <v/>
      </c>
      <c r="AI15" s="143" t="str">
        <f>IF(B8=2.68,"J",IF(B8&gt;2.68,"J",""))</f>
        <v/>
      </c>
      <c r="AJ15" s="143" t="str">
        <f>IF(B8=2.69,"J",IF(B8&gt;2.69,"J",""))</f>
        <v/>
      </c>
      <c r="AK15" s="144" t="str">
        <f>IF(B8=2.7,"J",IF(B8&gt;2.7,"J",""))</f>
        <v/>
      </c>
      <c r="AL15" s="3"/>
    </row>
    <row r="16" spans="1:38" ht="13.5" customHeight="1" thickBot="1">
      <c r="A16" s="3"/>
      <c r="B16" s="3"/>
      <c r="C16" s="3"/>
      <c r="D16" s="3"/>
      <c r="E16" s="3"/>
      <c r="F16" s="142" t="str">
        <f>IF(B8=0.71,"J",IF(B8&gt;0.71,"J",""))</f>
        <v/>
      </c>
      <c r="G16" s="143" t="str">
        <f>IF(B8=0.72,"J",IF(B8&gt;0.72,"J",""))</f>
        <v/>
      </c>
      <c r="H16" s="143" t="str">
        <f>IF(B8=0.73,"J",IF(B8&gt;0.73,"J",""))</f>
        <v/>
      </c>
      <c r="I16" s="143" t="str">
        <f>IF(B8=0.74,"J",IF(B8&gt;0.74,"J",""))</f>
        <v/>
      </c>
      <c r="J16" s="143" t="str">
        <f>IF(B8=0.75,"J",IF(B8&gt;0.75,"J",""))</f>
        <v/>
      </c>
      <c r="K16" s="143" t="str">
        <f>IF(B8=0.76,"J",IF(B8&gt;0.76,"J",""))</f>
        <v/>
      </c>
      <c r="L16" s="143" t="str">
        <f>IF(B8=0.77,"J",IF(B8&gt;0.77,"J",""))</f>
        <v/>
      </c>
      <c r="M16" s="143" t="str">
        <f>IF(B8=0.78,"J",IF(B8&gt;0.78,"J",""))</f>
        <v/>
      </c>
      <c r="N16" s="143" t="str">
        <f>IF(B8=0.79,"J",IF(B8&gt;0.79,"J",""))</f>
        <v/>
      </c>
      <c r="O16" s="144" t="str">
        <f>IF(B8=0.8,"J",IF(B8&gt;0.8,"J",""))</f>
        <v/>
      </c>
      <c r="P16" s="3"/>
      <c r="Q16" s="142" t="str">
        <f>IF(B8=1.71,"J",IF(B8&gt;1.71,"J",""))</f>
        <v/>
      </c>
      <c r="R16" s="143" t="str">
        <f>IF(B8=1.72,"J",IF(B8&gt;1.72,"J",""))</f>
        <v/>
      </c>
      <c r="S16" s="143" t="str">
        <f>IF(B8=1.73,"J",IF(B8&gt;1.73,"J",""))</f>
        <v/>
      </c>
      <c r="T16" s="143" t="str">
        <f>IF(B8=1.74,"J",IF(B8&gt;1.74,"J",""))</f>
        <v/>
      </c>
      <c r="U16" s="143" t="str">
        <f>IF(B8=1.75,"J",IF(B8&gt;1.75,"J",""))</f>
        <v/>
      </c>
      <c r="V16" s="143" t="str">
        <f>IF(B8=1.76,"J",IF(B8&gt;1.76,"J",""))</f>
        <v/>
      </c>
      <c r="W16" s="143" t="str">
        <f>IF(B8=1.77,"J",IF(B8&gt;1.77,"J",""))</f>
        <v/>
      </c>
      <c r="X16" s="143" t="str">
        <f>IF(B8=1.78,"J",IF(B8&gt;1.78,"J",""))</f>
        <v/>
      </c>
      <c r="Y16" s="143" t="str">
        <f>IF(B8=1.79,"J",IF(B8&gt;1.79,"J",""))</f>
        <v/>
      </c>
      <c r="Z16" s="144" t="str">
        <f>IF(B8=1.8,"J",IF(B8&gt;1.8,"J",""))</f>
        <v/>
      </c>
      <c r="AA16" s="3"/>
      <c r="AB16" s="142" t="str">
        <f>IF(B8=2.71,"J",IF(B8&gt;2.71,"J",""))</f>
        <v/>
      </c>
      <c r="AC16" s="143" t="str">
        <f>IF(B8=2.72,"J",IF(B8&gt;2.72,"J",""))</f>
        <v/>
      </c>
      <c r="AD16" s="143" t="str">
        <f>IF(B8=2.73,"J",IF(B8&gt;2.73,"J",""))</f>
        <v/>
      </c>
      <c r="AE16" s="143" t="str">
        <f>IF(B8=2.74,"J",IF(B8&gt;2.74,"J",""))</f>
        <v/>
      </c>
      <c r="AF16" s="143" t="str">
        <f>IF(B8=2.75,"J",IF(B8&gt;2.75,"J",""))</f>
        <v/>
      </c>
      <c r="AG16" s="143" t="str">
        <f>IF(B8=2.76,"J",IF(B8&gt;2.76,"J",""))</f>
        <v/>
      </c>
      <c r="AH16" s="143" t="str">
        <f>IF(B8=2.77,"J",IF(B8&gt;2.77,"J",""))</f>
        <v/>
      </c>
      <c r="AI16" s="143" t="str">
        <f>IF(B8=2.78,"J",IF(B8&gt;2.78,"J",""))</f>
        <v/>
      </c>
      <c r="AJ16" s="143" t="str">
        <f>IF(B8=2.79,"J",IF(B8&gt;2.79,"J",""))</f>
        <v/>
      </c>
      <c r="AK16" s="144" t="str">
        <f>IF(B8=2.8,"J",IF(B8&gt;2.8,"J",""))</f>
        <v/>
      </c>
      <c r="AL16" s="3"/>
    </row>
    <row r="17" spans="1:38" ht="13.5" customHeight="1" thickBot="1">
      <c r="A17" s="3"/>
      <c r="B17" s="3"/>
      <c r="C17" s="3"/>
      <c r="D17" s="3"/>
      <c r="E17" s="3"/>
      <c r="F17" s="142" t="str">
        <f>IF(B8=0.81,"J",IF(B8&gt;0.81,"J",""))</f>
        <v/>
      </c>
      <c r="G17" s="143" t="str">
        <f>IF(B8=0.82,"J",IF(B8&gt;0.82,"J",""))</f>
        <v/>
      </c>
      <c r="H17" s="143" t="str">
        <f>IF(B8=0.83,"J",IF(B8&gt;0.83,"J",""))</f>
        <v/>
      </c>
      <c r="I17" s="143" t="str">
        <f>IF(B8=0.84,"J",IF(B8&gt;0.84,"J",""))</f>
        <v/>
      </c>
      <c r="J17" s="143" t="str">
        <f>IF(B8=0.85,"J",IF(B8&gt;0.85,"J",""))</f>
        <v/>
      </c>
      <c r="K17" s="143" t="str">
        <f>IF(B8=0.86,"J",IF(B8&gt;0.86,"J",""))</f>
        <v/>
      </c>
      <c r="L17" s="143" t="str">
        <f>IF(B8=0.87,"J",IF(B8&gt;0.87,"J",""))</f>
        <v/>
      </c>
      <c r="M17" s="143" t="str">
        <f>IF(B8=0.88,"J",IF(B8&gt;0.88,"J",""))</f>
        <v/>
      </c>
      <c r="N17" s="143" t="str">
        <f>IF(B8=0.89,"J",IF(B8&gt;0.89,"J",""))</f>
        <v/>
      </c>
      <c r="O17" s="144" t="str">
        <f>IF(B8=0.9,"J",IF(B8&gt;0.9,"J",""))</f>
        <v/>
      </c>
      <c r="P17" s="3"/>
      <c r="Q17" s="142" t="str">
        <f>IF(B8=1.81,"J",IF(B8&gt;1.81,"J",""))</f>
        <v/>
      </c>
      <c r="R17" s="143" t="str">
        <f>IF(B8=1.82,"J",IF(B8&gt;1.82,"J",""))</f>
        <v/>
      </c>
      <c r="S17" s="143" t="str">
        <f>IF(B8=1.83,"J",IF(B8&gt;1.83,"J",""))</f>
        <v/>
      </c>
      <c r="T17" s="143" t="str">
        <f>IF(B8=1.84,"J",IF(B8&gt;1.84,"J",""))</f>
        <v/>
      </c>
      <c r="U17" s="143" t="str">
        <f>IF(B8=1.85,"J",IF(B8&gt;1.85,"J",""))</f>
        <v/>
      </c>
      <c r="V17" s="143" t="str">
        <f>IF(B8=1.86,"J",IF(B8&gt;1.86,"J",""))</f>
        <v/>
      </c>
      <c r="W17" s="143" t="str">
        <f>IF(B8=1.87,"J",IF(B8&gt;1.87,"J",""))</f>
        <v/>
      </c>
      <c r="X17" s="143" t="str">
        <f>IF(B8=1.88,"J",IF(B8&gt;1.88,"J",""))</f>
        <v/>
      </c>
      <c r="Y17" s="143" t="str">
        <f>IF(B8=1.89,"J",IF(B8&gt;1.89,"J",""))</f>
        <v/>
      </c>
      <c r="Z17" s="144" t="str">
        <f>IF(B8=1.9,"J",IF(B8&gt;1.9,"J",""))</f>
        <v/>
      </c>
      <c r="AA17" s="3"/>
      <c r="AB17" s="142" t="str">
        <f>IF(B8=2.81,"J",IF(B8&gt;2.81,"J",""))</f>
        <v/>
      </c>
      <c r="AC17" s="143" t="str">
        <f>IF(B8=2.82,"J",IF(B8&gt;2.82,"J",""))</f>
        <v/>
      </c>
      <c r="AD17" s="143" t="str">
        <f>IF(B8=2.83,"J",IF(B8&gt;2.83,"J",""))</f>
        <v/>
      </c>
      <c r="AE17" s="143" t="str">
        <f>IF(B8=2.84,"J",IF(B8&gt;2.84,"J",""))</f>
        <v/>
      </c>
      <c r="AF17" s="143" t="str">
        <f>IF(B8=2.85,"J",IF(B8&gt;2.85,"J",""))</f>
        <v/>
      </c>
      <c r="AG17" s="143" t="str">
        <f>IF(B8=2.86,"J",IF(B8&gt;2.86,"J",""))</f>
        <v/>
      </c>
      <c r="AH17" s="143" t="str">
        <f>IF(B8=2.87,"J",IF(B8&gt;2.87,"J",""))</f>
        <v/>
      </c>
      <c r="AI17" s="143" t="str">
        <f>IF(B8=2.88,"J",IF(B8&gt;2.88,"J",""))</f>
        <v/>
      </c>
      <c r="AJ17" s="143" t="str">
        <f>IF(B8=2.89,"J",IF(B8&gt;2.89,"J",""))</f>
        <v/>
      </c>
      <c r="AK17" s="144" t="str">
        <f>IF(B8=2.9,"J",IF(B8&gt;2.9,"J",""))</f>
        <v/>
      </c>
      <c r="AL17" s="3"/>
    </row>
    <row r="18" spans="1:38" ht="13.5" customHeight="1" thickBot="1">
      <c r="A18" s="3"/>
      <c r="B18" s="3"/>
      <c r="C18" s="3"/>
      <c r="D18" s="3"/>
      <c r="E18" s="3"/>
      <c r="F18" s="145" t="str">
        <f>IF(B8=0.91,"J",IF(B8&gt;0.91,"J",""))</f>
        <v/>
      </c>
      <c r="G18" s="146" t="str">
        <f>IF(B8=0.92,"J",IF(B8&gt;0.92,"J",""))</f>
        <v/>
      </c>
      <c r="H18" s="146" t="str">
        <f>IF(B8=0.93,"J",IF(B8&gt;0.93,"J",""))</f>
        <v/>
      </c>
      <c r="I18" s="146" t="str">
        <f>IF(B8=0.94,"J",IF(B8&gt;0.94,"J",""))</f>
        <v/>
      </c>
      <c r="J18" s="146" t="str">
        <f>IF(B8=0.95,"J",IF(B8&gt;0.95,"J",""))</f>
        <v/>
      </c>
      <c r="K18" s="146" t="str">
        <f>IF(B8=0.96,"J",IF(B8&gt;0.96,"J",""))</f>
        <v/>
      </c>
      <c r="L18" s="146" t="str">
        <f>IF(B8=0.97,"J",IF(B8&gt;0.97,"J",""))</f>
        <v/>
      </c>
      <c r="M18" s="146" t="str">
        <f>IF(B8=0.98,"J",IF(B8&gt;0.98,"J",""))</f>
        <v/>
      </c>
      <c r="N18" s="146" t="str">
        <f>IF(B8=0.99,"J",IF(B8&gt;0.99,"J",""))</f>
        <v/>
      </c>
      <c r="O18" s="147" t="str">
        <f>IF(B8=1,"J",IF(B8&gt;1,"J",""))</f>
        <v/>
      </c>
      <c r="P18" s="3"/>
      <c r="Q18" s="145" t="str">
        <f>IF(B8=1.91,"J",IF(B8&gt;1.91,"J",""))</f>
        <v/>
      </c>
      <c r="R18" s="146" t="str">
        <f>IF(B8=1.92,"J",IF(B8&gt;1.92,"J",""))</f>
        <v/>
      </c>
      <c r="S18" s="146" t="str">
        <f>IF(B8=1.93,"J",IF(B8&gt;1.93,"J",""))</f>
        <v/>
      </c>
      <c r="T18" s="146" t="str">
        <f>IF(B8=1.94,"J",IF(B8&gt;1.94,"J",""))</f>
        <v/>
      </c>
      <c r="U18" s="146" t="str">
        <f>IF(B8=1.95,"J",IF(B8&gt;1.95,"J",""))</f>
        <v/>
      </c>
      <c r="V18" s="146" t="str">
        <f>IF(B8=1.96,"J",IF(B8&gt;1.96,"J",""))</f>
        <v/>
      </c>
      <c r="W18" s="146" t="str">
        <f>IF(B8=1.97,"J",IF(B8&gt;1.97,"J",""))</f>
        <v/>
      </c>
      <c r="X18" s="146" t="str">
        <f>IF(B8=1.98,"J",IF(B8&gt;1.98,"J",""))</f>
        <v/>
      </c>
      <c r="Y18" s="146" t="str">
        <f>IF(B8=1.99,"J",IF(B8&gt;1.99,"J",""))</f>
        <v/>
      </c>
      <c r="Z18" s="147" t="str">
        <f>IF(B8=2,"J",IF(B8&gt;2,"J",""))</f>
        <v/>
      </c>
      <c r="AA18" s="3"/>
      <c r="AB18" s="145" t="str">
        <f>IF(B8=2.91,"J",IF(B8&gt;2.91,"J",""))</f>
        <v/>
      </c>
      <c r="AC18" s="146" t="str">
        <f>IF(B8=2.92,"J",IF(B8&gt;2.92,"J",""))</f>
        <v/>
      </c>
      <c r="AD18" s="146" t="str">
        <f>IF(B8=2.93,"J",IF(B8&gt;2.93,"J",""))</f>
        <v/>
      </c>
      <c r="AE18" s="146" t="str">
        <f>IF(B8=2.94,"J",IF(B8&gt;2.94,"J",""))</f>
        <v/>
      </c>
      <c r="AF18" s="146" t="str">
        <f>IF(B8=2.95,"J",IF(B8&gt;2.95,"J",""))</f>
        <v/>
      </c>
      <c r="AG18" s="146" t="str">
        <f>IF(B8=2.96,"J",IF(B8&gt;2.96,"J",""))</f>
        <v/>
      </c>
      <c r="AH18" s="146" t="str">
        <f>IF(B8=2.97,"J",IF(B8&gt;2.97,"J",""))</f>
        <v/>
      </c>
      <c r="AI18" s="146" t="str">
        <f>IF(B8=2.98,"J",IF(B8&gt;2.98,"J",""))</f>
        <v/>
      </c>
      <c r="AJ18" s="146" t="str">
        <f>IF(B8=2.99,"J",IF(B8&gt;2.99,"J",""))</f>
        <v/>
      </c>
      <c r="AK18" s="147" t="str">
        <f>IF(B8=3,"J",IF(B8&gt;3,"J",""))</f>
        <v/>
      </c>
      <c r="AL18" s="3"/>
    </row>
    <row r="19" spans="1:38" ht="13.5" customHeight="1" thickTop="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ht="39.75" customHeight="1">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row>
    <row r="22" spans="1:38" ht="22.5" customHeight="1">
      <c r="A22" s="20" t="s">
        <v>41</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38" ht="22.5" customHeight="1">
      <c r="A23" s="20" t="s">
        <v>42</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ht="15" customHeight="1" thickBot="1">
      <c r="A24" s="141" t="s">
        <v>43</v>
      </c>
      <c r="B24" s="3"/>
      <c r="C24" s="3"/>
      <c r="D24" s="3"/>
      <c r="E24" s="3"/>
      <c r="F24" s="3"/>
      <c r="G24" s="3"/>
      <c r="H24" s="3"/>
      <c r="I24" s="3"/>
      <c r="J24" s="3"/>
      <c r="K24" s="3"/>
      <c r="L24" s="3"/>
      <c r="M24" s="3"/>
      <c r="N24" s="3"/>
      <c r="O24" s="3"/>
      <c r="P24" s="163"/>
      <c r="Q24" s="164"/>
      <c r="R24" s="141" t="s">
        <v>44</v>
      </c>
      <c r="S24" s="3"/>
      <c r="T24" s="3"/>
      <c r="U24" s="3"/>
      <c r="V24" s="3"/>
      <c r="W24" s="3"/>
      <c r="X24" s="3"/>
      <c r="Y24" s="3"/>
      <c r="Z24" s="3"/>
      <c r="AA24" s="3"/>
      <c r="AB24" s="3"/>
      <c r="AC24" s="3"/>
      <c r="AD24" s="3"/>
      <c r="AE24" s="3"/>
      <c r="AF24" s="3"/>
      <c r="AG24" s="3"/>
      <c r="AH24" s="3"/>
      <c r="AI24" s="3"/>
      <c r="AJ24" s="163"/>
      <c r="AK24" s="163"/>
      <c r="AL24" s="3"/>
    </row>
    <row r="25" spans="1:38" ht="13.5" customHeight="1" thickTop="1" thickBot="1">
      <c r="A25" s="3"/>
      <c r="B25" s="244"/>
      <c r="C25" s="238" t="s">
        <v>8</v>
      </c>
      <c r="D25" s="240"/>
      <c r="E25" s="240"/>
      <c r="F25" s="3"/>
      <c r="G25" s="149"/>
      <c r="H25" s="150"/>
      <c r="I25" s="150"/>
      <c r="J25" s="150"/>
      <c r="K25" s="150"/>
      <c r="L25" s="150"/>
      <c r="M25" s="150"/>
      <c r="N25" s="150"/>
      <c r="O25" s="150"/>
      <c r="P25" s="151"/>
      <c r="Q25" s="164"/>
      <c r="R25" s="3"/>
      <c r="S25" s="244"/>
      <c r="T25" s="244"/>
      <c r="U25" s="244"/>
      <c r="V25" s="238" t="s">
        <v>8</v>
      </c>
      <c r="W25" s="241"/>
      <c r="X25" s="241"/>
      <c r="Y25" s="241"/>
      <c r="Z25" s="3"/>
      <c r="AA25" s="149"/>
      <c r="AB25" s="150"/>
      <c r="AC25" s="150"/>
      <c r="AD25" s="150"/>
      <c r="AE25" s="150"/>
      <c r="AF25" s="150"/>
      <c r="AG25" s="150"/>
      <c r="AH25" s="150"/>
      <c r="AI25" s="150"/>
      <c r="AJ25" s="151"/>
      <c r="AK25" s="163"/>
      <c r="AL25" s="3"/>
    </row>
    <row r="26" spans="1:38" ht="13.5" customHeight="1" thickBot="1">
      <c r="A26" s="3"/>
      <c r="B26" s="244"/>
      <c r="C26" s="238"/>
      <c r="D26" s="240"/>
      <c r="E26" s="240"/>
      <c r="F26" s="3"/>
      <c r="G26" s="142"/>
      <c r="H26" s="143"/>
      <c r="I26" s="143"/>
      <c r="J26" s="143"/>
      <c r="K26" s="143"/>
      <c r="L26" s="143"/>
      <c r="M26" s="143"/>
      <c r="N26" s="143"/>
      <c r="O26" s="143"/>
      <c r="P26" s="144"/>
      <c r="Q26" s="164"/>
      <c r="R26" s="3"/>
      <c r="S26" s="244"/>
      <c r="T26" s="244"/>
      <c r="U26" s="244"/>
      <c r="V26" s="238"/>
      <c r="W26" s="241"/>
      <c r="X26" s="241"/>
      <c r="Y26" s="241"/>
      <c r="Z26" s="3"/>
      <c r="AA26" s="152"/>
      <c r="AB26" s="153"/>
      <c r="AC26" s="153"/>
      <c r="AD26" s="153"/>
      <c r="AE26" s="153"/>
      <c r="AF26" s="153"/>
      <c r="AG26" s="153"/>
      <c r="AH26" s="153"/>
      <c r="AI26" s="153"/>
      <c r="AJ26" s="154"/>
      <c r="AK26" s="163"/>
      <c r="AL26" s="3"/>
    </row>
    <row r="27" spans="1:38" ht="13.5" customHeight="1" thickTop="1" thickBot="1">
      <c r="A27" s="3"/>
      <c r="B27" s="245"/>
      <c r="C27" s="238"/>
      <c r="D27" s="240"/>
      <c r="E27" s="240"/>
      <c r="F27" s="3"/>
      <c r="G27" s="142"/>
      <c r="H27" s="143"/>
      <c r="I27" s="143"/>
      <c r="J27" s="143"/>
      <c r="K27" s="143"/>
      <c r="L27" s="143"/>
      <c r="M27" s="143"/>
      <c r="N27" s="143"/>
      <c r="O27" s="143"/>
      <c r="P27" s="144"/>
      <c r="Q27" s="164"/>
      <c r="R27" s="3"/>
      <c r="S27" s="245"/>
      <c r="T27" s="245"/>
      <c r="U27" s="245"/>
      <c r="V27" s="238"/>
      <c r="W27" s="241"/>
      <c r="X27" s="241"/>
      <c r="Y27" s="241"/>
      <c r="Z27" s="3"/>
      <c r="AA27" s="152"/>
      <c r="AB27" s="153"/>
      <c r="AC27" s="153"/>
      <c r="AD27" s="153"/>
      <c r="AE27" s="153"/>
      <c r="AF27" s="153"/>
      <c r="AG27" s="153"/>
      <c r="AH27" s="153"/>
      <c r="AI27" s="153"/>
      <c r="AJ27" s="154"/>
      <c r="AK27" s="163"/>
      <c r="AL27" s="3"/>
    </row>
    <row r="28" spans="1:38" ht="13.5" customHeight="1" thickBot="1">
      <c r="A28" s="3"/>
      <c r="B28" s="246"/>
      <c r="C28" s="238"/>
      <c r="D28" s="240"/>
      <c r="E28" s="240"/>
      <c r="F28" s="3"/>
      <c r="G28" s="142"/>
      <c r="H28" s="143"/>
      <c r="I28" s="143"/>
      <c r="J28" s="143"/>
      <c r="K28" s="143"/>
      <c r="L28" s="143"/>
      <c r="M28" s="143"/>
      <c r="N28" s="143"/>
      <c r="O28" s="143"/>
      <c r="P28" s="144"/>
      <c r="Q28" s="164"/>
      <c r="R28" s="3"/>
      <c r="S28" s="246"/>
      <c r="T28" s="246"/>
      <c r="U28" s="246"/>
      <c r="V28" s="238"/>
      <c r="W28" s="241"/>
      <c r="X28" s="241"/>
      <c r="Y28" s="241"/>
      <c r="Z28" s="3"/>
      <c r="AA28" s="152"/>
      <c r="AB28" s="153"/>
      <c r="AC28" s="153"/>
      <c r="AD28" s="153"/>
      <c r="AE28" s="153"/>
      <c r="AF28" s="153"/>
      <c r="AG28" s="153"/>
      <c r="AH28" s="153"/>
      <c r="AI28" s="153"/>
      <c r="AJ28" s="154"/>
      <c r="AK28" s="163"/>
      <c r="AL28" s="3"/>
    </row>
    <row r="29" spans="1:38" ht="13.5" customHeight="1" thickBot="1">
      <c r="A29" s="3"/>
      <c r="B29" s="242" t="e">
        <f>IF(B25/B27=0.1,"J","L")</f>
        <v>#DIV/0!</v>
      </c>
      <c r="C29" s="3"/>
      <c r="D29" s="243" t="str">
        <f>IF(D25=0.1,"J","L")</f>
        <v>L</v>
      </c>
      <c r="E29" s="243"/>
      <c r="F29" s="3"/>
      <c r="G29" s="142"/>
      <c r="H29" s="143"/>
      <c r="I29" s="143"/>
      <c r="J29" s="143"/>
      <c r="K29" s="143"/>
      <c r="L29" s="143"/>
      <c r="M29" s="143"/>
      <c r="N29" s="143"/>
      <c r="O29" s="143"/>
      <c r="P29" s="144"/>
      <c r="Q29" s="164"/>
      <c r="R29" s="3"/>
      <c r="S29" s="242" t="e">
        <f>IF(S25/S27=0.4,"J","L")</f>
        <v>#DIV/0!</v>
      </c>
      <c r="T29" s="242"/>
      <c r="U29" s="242"/>
      <c r="V29" s="3"/>
      <c r="W29" s="243" t="str">
        <f>IF(W25=0.4,"J","L")</f>
        <v>L</v>
      </c>
      <c r="X29" s="243"/>
      <c r="Y29" s="243"/>
      <c r="Z29" s="3"/>
      <c r="AA29" s="142"/>
      <c r="AB29" s="143"/>
      <c r="AC29" s="143"/>
      <c r="AD29" s="143"/>
      <c r="AE29" s="143"/>
      <c r="AF29" s="143"/>
      <c r="AG29" s="143"/>
      <c r="AH29" s="143"/>
      <c r="AI29" s="143"/>
      <c r="AJ29" s="144"/>
      <c r="AK29" s="163"/>
      <c r="AL29" s="3"/>
    </row>
    <row r="30" spans="1:38" ht="13.5" customHeight="1" thickBot="1">
      <c r="A30" s="3"/>
      <c r="B30" s="242"/>
      <c r="C30" s="3"/>
      <c r="D30" s="243"/>
      <c r="E30" s="243"/>
      <c r="F30" s="3"/>
      <c r="G30" s="142"/>
      <c r="H30" s="143"/>
      <c r="I30" s="143"/>
      <c r="J30" s="143"/>
      <c r="K30" s="143"/>
      <c r="L30" s="143"/>
      <c r="M30" s="143"/>
      <c r="N30" s="143"/>
      <c r="O30" s="143"/>
      <c r="P30" s="144"/>
      <c r="Q30" s="164"/>
      <c r="R30" s="3"/>
      <c r="S30" s="242"/>
      <c r="T30" s="242"/>
      <c r="U30" s="242"/>
      <c r="V30" s="3"/>
      <c r="W30" s="243"/>
      <c r="X30" s="243"/>
      <c r="Y30" s="243"/>
      <c r="Z30" s="3"/>
      <c r="AA30" s="142"/>
      <c r="AB30" s="143"/>
      <c r="AC30" s="143"/>
      <c r="AD30" s="143"/>
      <c r="AE30" s="143"/>
      <c r="AF30" s="143"/>
      <c r="AG30" s="143"/>
      <c r="AH30" s="143"/>
      <c r="AI30" s="143"/>
      <c r="AJ30" s="144"/>
      <c r="AK30" s="163"/>
      <c r="AL30" s="3"/>
    </row>
    <row r="31" spans="1:38" ht="13.5" customHeight="1" thickBot="1">
      <c r="A31" s="3"/>
      <c r="B31" s="3"/>
      <c r="C31" s="3"/>
      <c r="D31" s="3"/>
      <c r="E31" s="3"/>
      <c r="F31" s="3"/>
      <c r="G31" s="142"/>
      <c r="H31" s="143"/>
      <c r="I31" s="143"/>
      <c r="J31" s="143"/>
      <c r="K31" s="143"/>
      <c r="L31" s="143"/>
      <c r="M31" s="143"/>
      <c r="N31" s="143"/>
      <c r="O31" s="143"/>
      <c r="P31" s="144"/>
      <c r="Q31" s="164"/>
      <c r="R31" s="3"/>
      <c r="S31" s="3"/>
      <c r="T31" s="3"/>
      <c r="U31" s="3"/>
      <c r="V31" s="3"/>
      <c r="W31" s="3"/>
      <c r="X31" s="3"/>
      <c r="Y31" s="3"/>
      <c r="Z31" s="3"/>
      <c r="AA31" s="142"/>
      <c r="AB31" s="143"/>
      <c r="AC31" s="143"/>
      <c r="AD31" s="143"/>
      <c r="AE31" s="143"/>
      <c r="AF31" s="143"/>
      <c r="AG31" s="143"/>
      <c r="AH31" s="143"/>
      <c r="AI31" s="143"/>
      <c r="AJ31" s="144"/>
      <c r="AK31" s="163"/>
      <c r="AL31" s="3"/>
    </row>
    <row r="32" spans="1:38" ht="13.5" customHeight="1" thickBot="1">
      <c r="A32" s="3"/>
      <c r="B32" s="3"/>
      <c r="C32" s="3"/>
      <c r="D32" s="3"/>
      <c r="E32" s="3"/>
      <c r="F32" s="3"/>
      <c r="G32" s="142"/>
      <c r="H32" s="143"/>
      <c r="I32" s="143"/>
      <c r="J32" s="143"/>
      <c r="K32" s="143"/>
      <c r="L32" s="143"/>
      <c r="M32" s="143"/>
      <c r="N32" s="143"/>
      <c r="O32" s="143"/>
      <c r="P32" s="144"/>
      <c r="Q32" s="164"/>
      <c r="R32" s="3"/>
      <c r="S32" s="3"/>
      <c r="T32" s="3"/>
      <c r="U32" s="3"/>
      <c r="V32" s="3"/>
      <c r="W32" s="3"/>
      <c r="X32" s="3"/>
      <c r="Y32" s="3"/>
      <c r="Z32" s="3"/>
      <c r="AA32" s="142"/>
      <c r="AB32" s="143"/>
      <c r="AC32" s="143"/>
      <c r="AD32" s="143"/>
      <c r="AE32" s="143"/>
      <c r="AF32" s="143"/>
      <c r="AG32" s="143"/>
      <c r="AH32" s="143"/>
      <c r="AI32" s="143"/>
      <c r="AJ32" s="144"/>
      <c r="AK32" s="163"/>
      <c r="AL32" s="3"/>
    </row>
    <row r="33" spans="1:38" ht="13.5" customHeight="1" thickBot="1">
      <c r="A33" s="3"/>
      <c r="B33" s="3"/>
      <c r="C33" s="3"/>
      <c r="D33" s="3"/>
      <c r="E33" s="3"/>
      <c r="F33" s="3"/>
      <c r="G33" s="142"/>
      <c r="H33" s="143"/>
      <c r="I33" s="143"/>
      <c r="J33" s="143"/>
      <c r="K33" s="143"/>
      <c r="L33" s="143"/>
      <c r="M33" s="143"/>
      <c r="N33" s="143"/>
      <c r="O33" s="143"/>
      <c r="P33" s="144"/>
      <c r="Q33" s="164"/>
      <c r="R33" s="3"/>
      <c r="S33" s="3"/>
      <c r="T33" s="3"/>
      <c r="U33" s="3"/>
      <c r="V33" s="3"/>
      <c r="W33" s="3"/>
      <c r="X33" s="3"/>
      <c r="Y33" s="3"/>
      <c r="Z33" s="3"/>
      <c r="AA33" s="142"/>
      <c r="AB33" s="143"/>
      <c r="AC33" s="143"/>
      <c r="AD33" s="143"/>
      <c r="AE33" s="143"/>
      <c r="AF33" s="143"/>
      <c r="AG33" s="143"/>
      <c r="AH33" s="143"/>
      <c r="AI33" s="143"/>
      <c r="AJ33" s="144"/>
      <c r="AK33" s="163"/>
      <c r="AL33" s="3"/>
    </row>
    <row r="34" spans="1:38" ht="13.5" customHeight="1" thickBot="1">
      <c r="A34" s="3"/>
      <c r="B34" s="3"/>
      <c r="C34" s="3"/>
      <c r="D34" s="3"/>
      <c r="E34" s="3"/>
      <c r="F34" s="3"/>
      <c r="G34" s="145"/>
      <c r="H34" s="146"/>
      <c r="I34" s="146"/>
      <c r="J34" s="146"/>
      <c r="K34" s="146"/>
      <c r="L34" s="146"/>
      <c r="M34" s="146"/>
      <c r="N34" s="146"/>
      <c r="O34" s="146"/>
      <c r="P34" s="147"/>
      <c r="Q34" s="164"/>
      <c r="R34" s="3"/>
      <c r="S34" s="3"/>
      <c r="T34" s="3"/>
      <c r="U34" s="3"/>
      <c r="V34" s="3"/>
      <c r="W34" s="3"/>
      <c r="X34" s="3"/>
      <c r="Y34" s="3"/>
      <c r="Z34" s="3"/>
      <c r="AA34" s="145"/>
      <c r="AB34" s="146"/>
      <c r="AC34" s="146"/>
      <c r="AD34" s="146"/>
      <c r="AE34" s="146"/>
      <c r="AF34" s="146"/>
      <c r="AG34" s="146"/>
      <c r="AH34" s="146"/>
      <c r="AI34" s="146"/>
      <c r="AJ34" s="147"/>
      <c r="AK34" s="163"/>
      <c r="AL34" s="3"/>
    </row>
    <row r="35" spans="1:38" ht="14.25" customHeight="1" thickTop="1" thickBot="1">
      <c r="A35" s="3"/>
      <c r="B35" s="3"/>
      <c r="C35" s="3"/>
      <c r="D35" s="3"/>
      <c r="E35" s="3"/>
      <c r="F35" s="3"/>
      <c r="G35" s="3"/>
      <c r="H35" s="3"/>
      <c r="I35" s="3"/>
      <c r="J35" s="3"/>
      <c r="K35" s="3"/>
      <c r="L35" s="3"/>
      <c r="M35" s="3"/>
      <c r="N35" s="3"/>
      <c r="O35" s="3"/>
      <c r="P35" s="163"/>
      <c r="Q35" s="164"/>
      <c r="R35" s="3"/>
      <c r="S35" s="3"/>
      <c r="T35" s="3"/>
      <c r="U35" s="3"/>
      <c r="V35" s="3"/>
      <c r="W35" s="3"/>
      <c r="X35" s="3"/>
      <c r="Y35" s="3"/>
      <c r="Z35" s="3"/>
      <c r="AA35" s="3"/>
      <c r="AB35" s="3"/>
      <c r="AC35" s="3"/>
      <c r="AD35" s="3"/>
      <c r="AE35" s="3"/>
      <c r="AF35" s="3"/>
      <c r="AG35" s="3"/>
      <c r="AH35" s="3"/>
      <c r="AI35" s="3"/>
      <c r="AJ35" s="163"/>
      <c r="AK35" s="163"/>
      <c r="AL35" s="3"/>
    </row>
    <row r="36" spans="1:38" ht="15" customHeight="1" thickTop="1" thickBot="1">
      <c r="A36" s="165" t="s">
        <v>45</v>
      </c>
      <c r="B36" s="166"/>
      <c r="C36" s="166"/>
      <c r="D36" s="166"/>
      <c r="E36" s="166"/>
      <c r="F36" s="166"/>
      <c r="G36" s="166"/>
      <c r="H36" s="166"/>
      <c r="I36" s="166"/>
      <c r="J36" s="166"/>
      <c r="K36" s="166"/>
      <c r="L36" s="166"/>
      <c r="M36" s="166"/>
      <c r="N36" s="166"/>
      <c r="O36" s="166"/>
      <c r="P36" s="166"/>
      <c r="Q36" s="167"/>
      <c r="R36" s="165" t="s">
        <v>46</v>
      </c>
      <c r="S36" s="166"/>
      <c r="T36" s="166"/>
      <c r="U36" s="166"/>
      <c r="V36" s="166"/>
      <c r="W36" s="166"/>
      <c r="X36" s="166"/>
      <c r="Y36" s="166"/>
      <c r="Z36" s="166"/>
      <c r="AA36" s="166"/>
      <c r="AB36" s="166"/>
      <c r="AC36" s="166"/>
      <c r="AD36" s="166"/>
      <c r="AE36" s="166"/>
      <c r="AF36" s="166"/>
      <c r="AG36" s="166"/>
      <c r="AH36" s="166"/>
      <c r="AI36" s="166"/>
      <c r="AJ36" s="166"/>
      <c r="AK36" s="166"/>
      <c r="AL36" s="3"/>
    </row>
    <row r="37" spans="1:38" ht="13.5" customHeight="1" thickTop="1" thickBot="1">
      <c r="A37" s="3"/>
      <c r="B37" s="244"/>
      <c r="C37" s="238" t="s">
        <v>8</v>
      </c>
      <c r="D37" s="240"/>
      <c r="E37" s="240"/>
      <c r="F37" s="3"/>
      <c r="G37" s="149"/>
      <c r="H37" s="150"/>
      <c r="I37" s="150"/>
      <c r="J37" s="150"/>
      <c r="K37" s="150"/>
      <c r="L37" s="139"/>
      <c r="M37" s="139"/>
      <c r="N37" s="139"/>
      <c r="O37" s="139"/>
      <c r="P37" s="140"/>
      <c r="Q37" s="164"/>
      <c r="R37" s="3"/>
      <c r="S37" s="244"/>
      <c r="T37" s="244"/>
      <c r="U37" s="244"/>
      <c r="V37" s="238" t="s">
        <v>8</v>
      </c>
      <c r="W37" s="241"/>
      <c r="X37" s="241"/>
      <c r="Y37" s="241"/>
      <c r="Z37" s="3"/>
      <c r="AA37" s="138"/>
      <c r="AB37" s="139"/>
      <c r="AC37" s="139"/>
      <c r="AD37" s="139"/>
      <c r="AE37" s="139"/>
      <c r="AF37" s="139"/>
      <c r="AG37" s="139"/>
      <c r="AH37" s="139"/>
      <c r="AI37" s="139"/>
      <c r="AJ37" s="140"/>
      <c r="AK37" s="163"/>
      <c r="AL37" s="3"/>
    </row>
    <row r="38" spans="1:38" ht="13.5" customHeight="1" thickBot="1">
      <c r="A38" s="3"/>
      <c r="B38" s="244"/>
      <c r="C38" s="238"/>
      <c r="D38" s="240"/>
      <c r="E38" s="240"/>
      <c r="F38" s="3"/>
      <c r="G38" s="152"/>
      <c r="H38" s="153"/>
      <c r="I38" s="153"/>
      <c r="J38" s="153"/>
      <c r="K38" s="153"/>
      <c r="L38" s="143"/>
      <c r="M38" s="143"/>
      <c r="N38" s="143"/>
      <c r="O38" s="143"/>
      <c r="P38" s="144"/>
      <c r="Q38" s="164"/>
      <c r="R38" s="3"/>
      <c r="S38" s="244"/>
      <c r="T38" s="244"/>
      <c r="U38" s="244"/>
      <c r="V38" s="238"/>
      <c r="W38" s="241"/>
      <c r="X38" s="241"/>
      <c r="Y38" s="241"/>
      <c r="Z38" s="3"/>
      <c r="AA38" s="142"/>
      <c r="AB38" s="143"/>
      <c r="AC38" s="143"/>
      <c r="AD38" s="143"/>
      <c r="AE38" s="143"/>
      <c r="AF38" s="143"/>
      <c r="AG38" s="143"/>
      <c r="AH38" s="143"/>
      <c r="AI38" s="143"/>
      <c r="AJ38" s="144"/>
      <c r="AK38" s="163"/>
      <c r="AL38" s="3"/>
    </row>
    <row r="39" spans="1:38" ht="13.5" customHeight="1" thickTop="1" thickBot="1">
      <c r="A39" s="3"/>
      <c r="B39" s="245"/>
      <c r="C39" s="238"/>
      <c r="D39" s="240"/>
      <c r="E39" s="240"/>
      <c r="F39" s="3"/>
      <c r="G39" s="152"/>
      <c r="H39" s="153"/>
      <c r="I39" s="153"/>
      <c r="J39" s="153"/>
      <c r="K39" s="153"/>
      <c r="L39" s="143"/>
      <c r="M39" s="143"/>
      <c r="N39" s="143"/>
      <c r="O39" s="143"/>
      <c r="P39" s="144"/>
      <c r="Q39" s="164"/>
      <c r="R39" s="3"/>
      <c r="S39" s="245"/>
      <c r="T39" s="245"/>
      <c r="U39" s="245"/>
      <c r="V39" s="238"/>
      <c r="W39" s="241"/>
      <c r="X39" s="241"/>
      <c r="Y39" s="241"/>
      <c r="Z39" s="3"/>
      <c r="AA39" s="142"/>
      <c r="AB39" s="143"/>
      <c r="AC39" s="153"/>
      <c r="AD39" s="153"/>
      <c r="AE39" s="153"/>
      <c r="AF39" s="153"/>
      <c r="AG39" s="153"/>
      <c r="AH39" s="153"/>
      <c r="AI39" s="143"/>
      <c r="AJ39" s="144"/>
      <c r="AK39" s="163"/>
      <c r="AL39" s="3"/>
    </row>
    <row r="40" spans="1:38" ht="13.5" customHeight="1" thickBot="1">
      <c r="A40" s="3"/>
      <c r="B40" s="246"/>
      <c r="C40" s="238"/>
      <c r="D40" s="240"/>
      <c r="E40" s="240"/>
      <c r="F40" s="3"/>
      <c r="G40" s="152"/>
      <c r="H40" s="153"/>
      <c r="I40" s="153"/>
      <c r="J40" s="153"/>
      <c r="K40" s="153"/>
      <c r="L40" s="143"/>
      <c r="M40" s="143"/>
      <c r="N40" s="143"/>
      <c r="O40" s="143"/>
      <c r="P40" s="144"/>
      <c r="Q40" s="164"/>
      <c r="R40" s="3"/>
      <c r="S40" s="246"/>
      <c r="T40" s="246"/>
      <c r="U40" s="246"/>
      <c r="V40" s="238"/>
      <c r="W40" s="241"/>
      <c r="X40" s="241"/>
      <c r="Y40" s="241"/>
      <c r="Z40" s="3"/>
      <c r="AA40" s="142"/>
      <c r="AB40" s="143"/>
      <c r="AC40" s="153"/>
      <c r="AD40" s="153"/>
      <c r="AE40" s="153"/>
      <c r="AF40" s="153"/>
      <c r="AG40" s="153"/>
      <c r="AH40" s="153"/>
      <c r="AI40" s="143"/>
      <c r="AJ40" s="144"/>
      <c r="AK40" s="163"/>
      <c r="AL40" s="3"/>
    </row>
    <row r="41" spans="1:38" ht="13.5" customHeight="1" thickBot="1">
      <c r="A41" s="3"/>
      <c r="B41" s="242" t="e">
        <f>IF(B37/B39=0.5,"J","L")</f>
        <v>#DIV/0!</v>
      </c>
      <c r="C41" s="3"/>
      <c r="D41" s="243" t="str">
        <f>IF(D37=0.5,"J","L")</f>
        <v>L</v>
      </c>
      <c r="E41" s="243"/>
      <c r="F41" s="3"/>
      <c r="G41" s="152"/>
      <c r="H41" s="153"/>
      <c r="I41" s="153"/>
      <c r="J41" s="153"/>
      <c r="K41" s="153"/>
      <c r="L41" s="143"/>
      <c r="M41" s="143"/>
      <c r="N41" s="143"/>
      <c r="O41" s="143"/>
      <c r="P41" s="144"/>
      <c r="Q41" s="164"/>
      <c r="R41" s="3"/>
      <c r="S41" s="242" t="e">
        <f>IF(S37/S39=0.3,"J","L")</f>
        <v>#DIV/0!</v>
      </c>
      <c r="T41" s="242"/>
      <c r="U41" s="242"/>
      <c r="V41" s="3"/>
      <c r="W41" s="243" t="str">
        <f>IF(W37=0.3,"J","L")</f>
        <v>L</v>
      </c>
      <c r="X41" s="243"/>
      <c r="Y41" s="243"/>
      <c r="Z41" s="3"/>
      <c r="AA41" s="142"/>
      <c r="AB41" s="143"/>
      <c r="AC41" s="153"/>
      <c r="AD41" s="153"/>
      <c r="AE41" s="153"/>
      <c r="AF41" s="153"/>
      <c r="AG41" s="153"/>
      <c r="AH41" s="153"/>
      <c r="AI41" s="143"/>
      <c r="AJ41" s="144"/>
      <c r="AK41" s="163"/>
      <c r="AL41" s="3"/>
    </row>
    <row r="42" spans="1:38" ht="13.5" customHeight="1" thickBot="1">
      <c r="A42" s="3"/>
      <c r="B42" s="242"/>
      <c r="C42" s="3"/>
      <c r="D42" s="243"/>
      <c r="E42" s="243"/>
      <c r="F42" s="3"/>
      <c r="G42" s="142"/>
      <c r="H42" s="143"/>
      <c r="I42" s="143"/>
      <c r="J42" s="143"/>
      <c r="K42" s="143"/>
      <c r="L42" s="153"/>
      <c r="M42" s="153"/>
      <c r="N42" s="153"/>
      <c r="O42" s="153"/>
      <c r="P42" s="154"/>
      <c r="Q42" s="164"/>
      <c r="R42" s="3"/>
      <c r="S42" s="242"/>
      <c r="T42" s="242"/>
      <c r="U42" s="242"/>
      <c r="V42" s="3"/>
      <c r="W42" s="243"/>
      <c r="X42" s="243"/>
      <c r="Y42" s="243"/>
      <c r="Z42" s="3"/>
      <c r="AA42" s="142"/>
      <c r="AB42" s="143"/>
      <c r="AC42" s="153"/>
      <c r="AD42" s="153"/>
      <c r="AE42" s="153"/>
      <c r="AF42" s="153"/>
      <c r="AG42" s="153"/>
      <c r="AH42" s="153"/>
      <c r="AI42" s="143"/>
      <c r="AJ42" s="144"/>
      <c r="AK42" s="163"/>
      <c r="AL42" s="3"/>
    </row>
    <row r="43" spans="1:38" ht="13.5" customHeight="1" thickBot="1">
      <c r="A43" s="3"/>
      <c r="B43" s="3"/>
      <c r="C43" s="3"/>
      <c r="D43" s="3"/>
      <c r="E43" s="3"/>
      <c r="F43" s="3"/>
      <c r="G43" s="142"/>
      <c r="H43" s="143"/>
      <c r="I43" s="143"/>
      <c r="J43" s="143"/>
      <c r="K43" s="143"/>
      <c r="L43" s="153"/>
      <c r="M43" s="153"/>
      <c r="N43" s="153"/>
      <c r="O43" s="153"/>
      <c r="P43" s="154"/>
      <c r="Q43" s="164"/>
      <c r="R43" s="3"/>
      <c r="S43" s="3"/>
      <c r="T43" s="3"/>
      <c r="U43" s="3"/>
      <c r="V43" s="3"/>
      <c r="W43" s="3"/>
      <c r="X43" s="3"/>
      <c r="Y43" s="3"/>
      <c r="Z43" s="3"/>
      <c r="AA43" s="142"/>
      <c r="AB43" s="143"/>
      <c r="AC43" s="153"/>
      <c r="AD43" s="153"/>
      <c r="AE43" s="153"/>
      <c r="AF43" s="153"/>
      <c r="AG43" s="153"/>
      <c r="AH43" s="153"/>
      <c r="AI43" s="143"/>
      <c r="AJ43" s="144"/>
      <c r="AK43" s="163"/>
      <c r="AL43" s="3"/>
    </row>
    <row r="44" spans="1:38" ht="13.5" customHeight="1" thickBot="1">
      <c r="A44" s="3"/>
      <c r="B44" s="3"/>
      <c r="C44" s="3"/>
      <c r="D44" s="3"/>
      <c r="E44" s="3"/>
      <c r="F44" s="3"/>
      <c r="G44" s="142"/>
      <c r="H44" s="143"/>
      <c r="I44" s="143"/>
      <c r="J44" s="143"/>
      <c r="K44" s="143"/>
      <c r="L44" s="153"/>
      <c r="M44" s="153"/>
      <c r="N44" s="153"/>
      <c r="O44" s="153"/>
      <c r="P44" s="154"/>
      <c r="Q44" s="164"/>
      <c r="R44" s="3"/>
      <c r="S44" s="3"/>
      <c r="T44" s="3"/>
      <c r="U44" s="3"/>
      <c r="V44" s="3"/>
      <c r="W44" s="3"/>
      <c r="X44" s="3"/>
      <c r="Y44" s="3"/>
      <c r="Z44" s="3"/>
      <c r="AA44" s="142"/>
      <c r="AB44" s="143"/>
      <c r="AC44" s="143"/>
      <c r="AD44" s="143"/>
      <c r="AE44" s="143"/>
      <c r="AF44" s="143"/>
      <c r="AG44" s="143"/>
      <c r="AH44" s="143"/>
      <c r="AI44" s="143"/>
      <c r="AJ44" s="144"/>
      <c r="AK44" s="163"/>
      <c r="AL44" s="3"/>
    </row>
    <row r="45" spans="1:38" ht="13.5" customHeight="1" thickBot="1">
      <c r="A45" s="3"/>
      <c r="B45" s="3"/>
      <c r="C45" s="3"/>
      <c r="D45" s="3"/>
      <c r="E45" s="3"/>
      <c r="F45" s="3"/>
      <c r="G45" s="142"/>
      <c r="H45" s="143"/>
      <c r="I45" s="143"/>
      <c r="J45" s="143"/>
      <c r="K45" s="143"/>
      <c r="L45" s="153"/>
      <c r="M45" s="153"/>
      <c r="N45" s="153"/>
      <c r="O45" s="153"/>
      <c r="P45" s="154"/>
      <c r="Q45" s="164"/>
      <c r="R45" s="3"/>
      <c r="S45" s="3"/>
      <c r="T45" s="3"/>
      <c r="U45" s="3"/>
      <c r="V45" s="3"/>
      <c r="W45" s="3"/>
      <c r="X45" s="3"/>
      <c r="Y45" s="3"/>
      <c r="Z45" s="3"/>
      <c r="AA45" s="142"/>
      <c r="AB45" s="143"/>
      <c r="AC45" s="143"/>
      <c r="AD45" s="143"/>
      <c r="AE45" s="143"/>
      <c r="AF45" s="143"/>
      <c r="AG45" s="143"/>
      <c r="AH45" s="143"/>
      <c r="AI45" s="143"/>
      <c r="AJ45" s="144"/>
      <c r="AK45" s="163"/>
      <c r="AL45" s="3"/>
    </row>
    <row r="46" spans="1:38" ht="13.5" customHeight="1" thickBot="1">
      <c r="A46" s="3"/>
      <c r="B46" s="3"/>
      <c r="C46" s="3"/>
      <c r="D46" s="3"/>
      <c r="E46" s="3"/>
      <c r="F46" s="3"/>
      <c r="G46" s="145"/>
      <c r="H46" s="146"/>
      <c r="I46" s="146"/>
      <c r="J46" s="146"/>
      <c r="K46" s="146"/>
      <c r="L46" s="159"/>
      <c r="M46" s="159"/>
      <c r="N46" s="159"/>
      <c r="O46" s="159"/>
      <c r="P46" s="160"/>
      <c r="Q46" s="164"/>
      <c r="R46" s="3"/>
      <c r="S46" s="3"/>
      <c r="T46" s="3"/>
      <c r="U46" s="3"/>
      <c r="V46" s="3"/>
      <c r="W46" s="3"/>
      <c r="X46" s="3"/>
      <c r="Y46" s="3"/>
      <c r="Z46" s="3"/>
      <c r="AA46" s="145"/>
      <c r="AB46" s="146"/>
      <c r="AC46" s="146"/>
      <c r="AD46" s="146"/>
      <c r="AE46" s="146"/>
      <c r="AF46" s="146"/>
      <c r="AG46" s="146"/>
      <c r="AH46" s="146"/>
      <c r="AI46" s="146"/>
      <c r="AJ46" s="147"/>
      <c r="AK46" s="163"/>
      <c r="AL46" s="3"/>
    </row>
    <row r="47" spans="1:38" ht="14.25" customHeight="1" thickTop="1" thickBot="1">
      <c r="A47" s="3"/>
      <c r="B47" s="3"/>
      <c r="C47" s="3"/>
      <c r="D47" s="3"/>
      <c r="E47" s="3"/>
      <c r="F47" s="3"/>
      <c r="G47" s="3"/>
      <c r="H47" s="3"/>
      <c r="I47" s="3"/>
      <c r="J47" s="3"/>
      <c r="K47" s="3"/>
      <c r="L47" s="3"/>
      <c r="M47" s="3"/>
      <c r="N47" s="3"/>
      <c r="O47" s="3"/>
      <c r="P47" s="163"/>
      <c r="Q47" s="164"/>
      <c r="R47" s="3"/>
      <c r="S47" s="3"/>
      <c r="T47" s="3"/>
      <c r="U47" s="3"/>
      <c r="V47" s="3"/>
      <c r="W47" s="3"/>
      <c r="X47" s="3"/>
      <c r="Y47" s="3"/>
      <c r="Z47" s="3"/>
      <c r="AA47" s="3"/>
      <c r="AB47" s="3"/>
      <c r="AC47" s="3"/>
      <c r="AD47" s="3"/>
      <c r="AE47" s="3"/>
      <c r="AF47" s="3"/>
      <c r="AG47" s="3"/>
      <c r="AH47" s="3"/>
      <c r="AI47" s="3"/>
      <c r="AJ47" s="163"/>
      <c r="AK47" s="163"/>
      <c r="AL47" s="3"/>
    </row>
    <row r="48" spans="1:38" ht="15" customHeight="1" thickTop="1" thickBot="1">
      <c r="A48" s="165" t="s">
        <v>47</v>
      </c>
      <c r="B48" s="166"/>
      <c r="C48" s="166"/>
      <c r="D48" s="166"/>
      <c r="E48" s="166"/>
      <c r="F48" s="166"/>
      <c r="G48" s="166"/>
      <c r="H48" s="166"/>
      <c r="I48" s="166"/>
      <c r="J48" s="166"/>
      <c r="K48" s="166"/>
      <c r="L48" s="166"/>
      <c r="M48" s="166"/>
      <c r="N48" s="166"/>
      <c r="O48" s="166"/>
      <c r="P48" s="166"/>
      <c r="Q48" s="167"/>
      <c r="R48" s="165" t="s">
        <v>48</v>
      </c>
      <c r="S48" s="166"/>
      <c r="T48" s="166"/>
      <c r="U48" s="166"/>
      <c r="V48" s="166"/>
      <c r="W48" s="166"/>
      <c r="X48" s="166"/>
      <c r="Y48" s="166"/>
      <c r="Z48" s="166"/>
      <c r="AA48" s="166"/>
      <c r="AB48" s="166"/>
      <c r="AC48" s="166"/>
      <c r="AD48" s="166"/>
      <c r="AE48" s="166"/>
      <c r="AF48" s="166"/>
      <c r="AG48" s="166"/>
      <c r="AH48" s="166"/>
      <c r="AI48" s="166"/>
      <c r="AJ48" s="166"/>
      <c r="AK48" s="166"/>
      <c r="AL48" s="3"/>
    </row>
    <row r="49" spans="1:38" ht="13.5" customHeight="1" thickTop="1" thickBot="1">
      <c r="A49" s="3"/>
      <c r="B49" s="244"/>
      <c r="C49" s="238" t="s">
        <v>8</v>
      </c>
      <c r="D49" s="240"/>
      <c r="E49" s="240"/>
      <c r="F49" s="3"/>
      <c r="G49" s="149"/>
      <c r="H49" s="150"/>
      <c r="I49" s="150"/>
      <c r="J49" s="150"/>
      <c r="K49" s="150"/>
      <c r="L49" s="139"/>
      <c r="M49" s="139"/>
      <c r="N49" s="139"/>
      <c r="O49" s="139"/>
      <c r="P49" s="140"/>
      <c r="Q49" s="164"/>
      <c r="R49" s="3"/>
      <c r="S49" s="244"/>
      <c r="T49" s="244"/>
      <c r="U49" s="244"/>
      <c r="V49" s="238" t="s">
        <v>8</v>
      </c>
      <c r="W49" s="247"/>
      <c r="X49" s="247"/>
      <c r="Y49" s="247"/>
      <c r="Z49" s="3"/>
      <c r="AA49" s="138"/>
      <c r="AB49" s="139"/>
      <c r="AC49" s="139"/>
      <c r="AD49" s="139"/>
      <c r="AE49" s="139"/>
      <c r="AF49" s="139"/>
      <c r="AG49" s="139"/>
      <c r="AH49" s="139"/>
      <c r="AI49" s="139"/>
      <c r="AJ49" s="140"/>
      <c r="AK49" s="163"/>
      <c r="AL49" s="3"/>
    </row>
    <row r="50" spans="1:38" ht="13.5" customHeight="1" thickBot="1">
      <c r="A50" s="3"/>
      <c r="B50" s="244"/>
      <c r="C50" s="238"/>
      <c r="D50" s="240"/>
      <c r="E50" s="240"/>
      <c r="F50" s="3"/>
      <c r="G50" s="152"/>
      <c r="H50" s="153"/>
      <c r="I50" s="153"/>
      <c r="J50" s="153"/>
      <c r="K50" s="153"/>
      <c r="L50" s="143"/>
      <c r="M50" s="143"/>
      <c r="N50" s="143"/>
      <c r="O50" s="143"/>
      <c r="P50" s="144"/>
      <c r="Q50" s="164"/>
      <c r="R50" s="3"/>
      <c r="S50" s="244"/>
      <c r="T50" s="244"/>
      <c r="U50" s="244"/>
      <c r="V50" s="238"/>
      <c r="W50" s="247"/>
      <c r="X50" s="247"/>
      <c r="Y50" s="247"/>
      <c r="Z50" s="3"/>
      <c r="AA50" s="142"/>
      <c r="AB50" s="143"/>
      <c r="AC50" s="143"/>
      <c r="AD50" s="143"/>
      <c r="AE50" s="143"/>
      <c r="AF50" s="143"/>
      <c r="AG50" s="143"/>
      <c r="AH50" s="143"/>
      <c r="AI50" s="143"/>
      <c r="AJ50" s="144"/>
      <c r="AK50" s="163"/>
      <c r="AL50" s="3"/>
    </row>
    <row r="51" spans="1:38" ht="13.5" customHeight="1" thickTop="1" thickBot="1">
      <c r="A51" s="3"/>
      <c r="B51" s="245"/>
      <c r="C51" s="238"/>
      <c r="D51" s="240"/>
      <c r="E51" s="240"/>
      <c r="F51" s="3"/>
      <c r="G51" s="152"/>
      <c r="H51" s="153"/>
      <c r="I51" s="153"/>
      <c r="J51" s="153"/>
      <c r="K51" s="153"/>
      <c r="L51" s="143"/>
      <c r="M51" s="143"/>
      <c r="N51" s="143"/>
      <c r="O51" s="143"/>
      <c r="P51" s="144"/>
      <c r="Q51" s="164"/>
      <c r="R51" s="3"/>
      <c r="S51" s="245"/>
      <c r="T51" s="245"/>
      <c r="U51" s="245"/>
      <c r="V51" s="238"/>
      <c r="W51" s="247"/>
      <c r="X51" s="247"/>
      <c r="Y51" s="247"/>
      <c r="Z51" s="3"/>
      <c r="AA51" s="142"/>
      <c r="AB51" s="143"/>
      <c r="AC51" s="153"/>
      <c r="AD51" s="153"/>
      <c r="AE51" s="153"/>
      <c r="AF51" s="153"/>
      <c r="AG51" s="153"/>
      <c r="AH51" s="153"/>
      <c r="AI51" s="143"/>
      <c r="AJ51" s="144"/>
      <c r="AK51" s="163"/>
      <c r="AL51" s="3"/>
    </row>
    <row r="52" spans="1:38" ht="13.5" customHeight="1" thickBot="1">
      <c r="A52" s="3"/>
      <c r="B52" s="246"/>
      <c r="C52" s="238"/>
      <c r="D52" s="240"/>
      <c r="E52" s="240"/>
      <c r="F52" s="3"/>
      <c r="G52" s="152"/>
      <c r="H52" s="153"/>
      <c r="I52" s="153"/>
      <c r="J52" s="153"/>
      <c r="K52" s="153"/>
      <c r="L52" s="143"/>
      <c r="M52" s="143"/>
      <c r="N52" s="143"/>
      <c r="O52" s="143"/>
      <c r="P52" s="144"/>
      <c r="Q52" s="164"/>
      <c r="R52" s="3"/>
      <c r="S52" s="246"/>
      <c r="T52" s="246"/>
      <c r="U52" s="246"/>
      <c r="V52" s="238"/>
      <c r="W52" s="247"/>
      <c r="X52" s="247"/>
      <c r="Y52" s="247"/>
      <c r="Z52" s="3"/>
      <c r="AA52" s="142"/>
      <c r="AB52" s="143"/>
      <c r="AC52" s="153"/>
      <c r="AD52" s="153"/>
      <c r="AE52" s="153"/>
      <c r="AF52" s="153"/>
      <c r="AG52" s="153"/>
      <c r="AH52" s="153"/>
      <c r="AI52" s="143"/>
      <c r="AJ52" s="144"/>
      <c r="AK52" s="163"/>
      <c r="AL52" s="3"/>
    </row>
    <row r="53" spans="1:38" ht="13.5" customHeight="1" thickBot="1">
      <c r="A53" s="3"/>
      <c r="B53" s="242" t="e">
        <f>IF(B49/B51=0.5,"J","L")</f>
        <v>#DIV/0!</v>
      </c>
      <c r="C53" s="3"/>
      <c r="D53" s="243" t="str">
        <f>IF(D49=0.5,"J","L")</f>
        <v>L</v>
      </c>
      <c r="E53" s="243"/>
      <c r="F53" s="3"/>
      <c r="G53" s="152"/>
      <c r="H53" s="153"/>
      <c r="I53" s="153"/>
      <c r="J53" s="153"/>
      <c r="K53" s="153"/>
      <c r="L53" s="143"/>
      <c r="M53" s="143"/>
      <c r="N53" s="143"/>
      <c r="O53" s="143"/>
      <c r="P53" s="144"/>
      <c r="Q53" s="164"/>
      <c r="R53" s="3"/>
      <c r="S53" s="242" t="e">
        <f>IF(S49/S51=0.3,"J","L")</f>
        <v>#DIV/0!</v>
      </c>
      <c r="T53" s="242"/>
      <c r="U53" s="242"/>
      <c r="V53" s="3"/>
      <c r="W53" s="243" t="str">
        <f>IF(W49=0.3,"J","L")</f>
        <v>L</v>
      </c>
      <c r="X53" s="243"/>
      <c r="Y53" s="243"/>
      <c r="Z53" s="3"/>
      <c r="AA53" s="142"/>
      <c r="AB53" s="143"/>
      <c r="AC53" s="153"/>
      <c r="AD53" s="153"/>
      <c r="AE53" s="153"/>
      <c r="AF53" s="153"/>
      <c r="AG53" s="153"/>
      <c r="AH53" s="153"/>
      <c r="AI53" s="143"/>
      <c r="AJ53" s="144"/>
      <c r="AK53" s="163"/>
      <c r="AL53" s="3"/>
    </row>
    <row r="54" spans="1:38" ht="13.5" customHeight="1" thickBot="1">
      <c r="A54" s="3"/>
      <c r="B54" s="242"/>
      <c r="C54" s="3"/>
      <c r="D54" s="243"/>
      <c r="E54" s="243"/>
      <c r="F54" s="3"/>
      <c r="G54" s="142"/>
      <c r="H54" s="143"/>
      <c r="I54" s="143"/>
      <c r="J54" s="143"/>
      <c r="K54" s="143"/>
      <c r="L54" s="153"/>
      <c r="M54" s="153"/>
      <c r="N54" s="153"/>
      <c r="O54" s="153"/>
      <c r="P54" s="154"/>
      <c r="Q54" s="164"/>
      <c r="R54" s="3"/>
      <c r="S54" s="242"/>
      <c r="T54" s="242"/>
      <c r="U54" s="242"/>
      <c r="V54" s="3"/>
      <c r="W54" s="243"/>
      <c r="X54" s="243"/>
      <c r="Y54" s="243"/>
      <c r="Z54" s="3"/>
      <c r="AA54" s="142"/>
      <c r="AB54" s="143"/>
      <c r="AC54" s="153"/>
      <c r="AD54" s="153"/>
      <c r="AE54" s="153"/>
      <c r="AF54" s="153"/>
      <c r="AG54" s="153"/>
      <c r="AH54" s="153"/>
      <c r="AI54" s="143"/>
      <c r="AJ54" s="144"/>
      <c r="AK54" s="163"/>
      <c r="AL54" s="3"/>
    </row>
    <row r="55" spans="1:38" ht="13.5" customHeight="1" thickBot="1">
      <c r="A55" s="3"/>
      <c r="B55" s="3"/>
      <c r="C55" s="3"/>
      <c r="D55" s="3"/>
      <c r="E55" s="3"/>
      <c r="F55" s="3"/>
      <c r="G55" s="142"/>
      <c r="H55" s="143"/>
      <c r="I55" s="143"/>
      <c r="J55" s="143"/>
      <c r="K55" s="143"/>
      <c r="L55" s="153"/>
      <c r="M55" s="153"/>
      <c r="N55" s="153"/>
      <c r="O55" s="153"/>
      <c r="P55" s="154"/>
      <c r="Q55" s="164"/>
      <c r="R55" s="3"/>
      <c r="S55" s="3"/>
      <c r="T55" s="3"/>
      <c r="U55" s="3"/>
      <c r="V55" s="3"/>
      <c r="W55" s="3"/>
      <c r="X55" s="3"/>
      <c r="Y55" s="3"/>
      <c r="Z55" s="3"/>
      <c r="AA55" s="142"/>
      <c r="AB55" s="143"/>
      <c r="AC55" s="153"/>
      <c r="AD55" s="153"/>
      <c r="AE55" s="153"/>
      <c r="AF55" s="153"/>
      <c r="AG55" s="153"/>
      <c r="AH55" s="153"/>
      <c r="AI55" s="143"/>
      <c r="AJ55" s="144"/>
      <c r="AK55" s="163"/>
      <c r="AL55" s="3"/>
    </row>
    <row r="56" spans="1:38" ht="13.5" customHeight="1" thickBot="1">
      <c r="A56" s="3"/>
      <c r="B56" s="3"/>
      <c r="C56" s="3"/>
      <c r="D56" s="3"/>
      <c r="E56" s="3"/>
      <c r="F56" s="3"/>
      <c r="G56" s="142"/>
      <c r="H56" s="143"/>
      <c r="I56" s="143"/>
      <c r="J56" s="143"/>
      <c r="K56" s="143"/>
      <c r="L56" s="153"/>
      <c r="M56" s="153"/>
      <c r="N56" s="153"/>
      <c r="O56" s="153"/>
      <c r="P56" s="154"/>
      <c r="Q56" s="164"/>
      <c r="R56" s="3"/>
      <c r="S56" s="3"/>
      <c r="T56" s="3"/>
      <c r="U56" s="3"/>
      <c r="V56" s="3"/>
      <c r="W56" s="3"/>
      <c r="X56" s="3"/>
      <c r="Y56" s="3"/>
      <c r="Z56" s="3"/>
      <c r="AA56" s="142"/>
      <c r="AB56" s="143"/>
      <c r="AC56" s="143"/>
      <c r="AD56" s="143"/>
      <c r="AE56" s="143"/>
      <c r="AF56" s="143"/>
      <c r="AG56" s="143"/>
      <c r="AH56" s="143"/>
      <c r="AI56" s="143"/>
      <c r="AJ56" s="144"/>
      <c r="AK56" s="163"/>
      <c r="AL56" s="3"/>
    </row>
    <row r="57" spans="1:38" ht="13.5" customHeight="1" thickBot="1">
      <c r="A57" s="3"/>
      <c r="B57" s="3"/>
      <c r="C57" s="3"/>
      <c r="D57" s="3"/>
      <c r="E57" s="3"/>
      <c r="F57" s="3"/>
      <c r="G57" s="142"/>
      <c r="H57" s="143"/>
      <c r="I57" s="143"/>
      <c r="J57" s="143"/>
      <c r="K57" s="143"/>
      <c r="L57" s="153"/>
      <c r="M57" s="153"/>
      <c r="N57" s="153"/>
      <c r="O57" s="153"/>
      <c r="P57" s="154"/>
      <c r="Q57" s="164"/>
      <c r="R57" s="3"/>
      <c r="S57" s="3"/>
      <c r="T57" s="3"/>
      <c r="U57" s="3"/>
      <c r="V57" s="3"/>
      <c r="W57" s="3"/>
      <c r="X57" s="3"/>
      <c r="Y57" s="3"/>
      <c r="Z57" s="3"/>
      <c r="AA57" s="142"/>
      <c r="AB57" s="143"/>
      <c r="AC57" s="143"/>
      <c r="AD57" s="143"/>
      <c r="AE57" s="143"/>
      <c r="AF57" s="143"/>
      <c r="AG57" s="143"/>
      <c r="AH57" s="143"/>
      <c r="AI57" s="143"/>
      <c r="AJ57" s="144"/>
      <c r="AK57" s="163"/>
      <c r="AL57" s="3"/>
    </row>
    <row r="58" spans="1:38" ht="13.5" customHeight="1" thickBot="1">
      <c r="A58" s="3"/>
      <c r="B58" s="3"/>
      <c r="C58" s="3"/>
      <c r="D58" s="3"/>
      <c r="E58" s="3"/>
      <c r="F58" s="3"/>
      <c r="G58" s="145"/>
      <c r="H58" s="146"/>
      <c r="I58" s="146"/>
      <c r="J58" s="146"/>
      <c r="K58" s="146"/>
      <c r="L58" s="159"/>
      <c r="M58" s="159"/>
      <c r="N58" s="159"/>
      <c r="O58" s="159"/>
      <c r="P58" s="160"/>
      <c r="Q58" s="164"/>
      <c r="R58" s="3"/>
      <c r="S58" s="3"/>
      <c r="T58" s="3"/>
      <c r="U58" s="3"/>
      <c r="V58" s="3"/>
      <c r="W58" s="3"/>
      <c r="X58" s="3"/>
      <c r="Y58" s="3"/>
      <c r="Z58" s="3"/>
      <c r="AA58" s="145"/>
      <c r="AB58" s="146"/>
      <c r="AC58" s="146"/>
      <c r="AD58" s="146"/>
      <c r="AE58" s="146"/>
      <c r="AF58" s="146"/>
      <c r="AG58" s="146"/>
      <c r="AH58" s="146"/>
      <c r="AI58" s="146"/>
      <c r="AJ58" s="147"/>
      <c r="AK58" s="163"/>
      <c r="AL58" s="3"/>
    </row>
    <row r="59" spans="1:38" ht="13.5" customHeight="1" thickTop="1" thickBot="1">
      <c r="A59" s="3"/>
      <c r="B59" s="3"/>
      <c r="C59" s="3"/>
      <c r="D59" s="3"/>
      <c r="E59" s="3"/>
      <c r="F59" s="3"/>
      <c r="G59" s="168"/>
      <c r="H59" s="168"/>
      <c r="I59" s="168"/>
      <c r="J59" s="168"/>
      <c r="K59" s="168"/>
      <c r="L59" s="168"/>
      <c r="M59" s="168"/>
      <c r="N59" s="168"/>
      <c r="O59" s="168"/>
      <c r="P59" s="168"/>
      <c r="Q59" s="164"/>
      <c r="R59" s="3"/>
      <c r="S59" s="3"/>
      <c r="T59" s="3"/>
      <c r="U59" s="3"/>
      <c r="V59" s="3"/>
      <c r="W59" s="3"/>
      <c r="X59" s="3"/>
      <c r="Y59" s="3"/>
      <c r="Z59" s="3"/>
      <c r="AA59" s="168"/>
      <c r="AB59" s="168"/>
      <c r="AC59" s="168"/>
      <c r="AD59" s="168"/>
      <c r="AE59" s="168"/>
      <c r="AF59" s="168"/>
      <c r="AG59" s="168"/>
      <c r="AH59" s="168"/>
      <c r="AI59" s="168"/>
      <c r="AJ59" s="168"/>
      <c r="AK59" s="163"/>
      <c r="AL59" s="3"/>
    </row>
    <row r="60" spans="1:38" ht="15" customHeight="1" thickTop="1" thickBot="1">
      <c r="A60" s="165" t="s">
        <v>49</v>
      </c>
      <c r="B60" s="166"/>
      <c r="C60" s="166"/>
      <c r="D60" s="166"/>
      <c r="E60" s="166"/>
      <c r="F60" s="166"/>
      <c r="G60" s="166"/>
      <c r="H60" s="166"/>
      <c r="I60" s="166"/>
      <c r="J60" s="166"/>
      <c r="K60" s="166"/>
      <c r="L60" s="166"/>
      <c r="M60" s="166"/>
      <c r="N60" s="166"/>
      <c r="O60" s="166"/>
      <c r="P60" s="166"/>
      <c r="Q60" s="167"/>
      <c r="R60" s="165" t="s">
        <v>50</v>
      </c>
      <c r="S60" s="166"/>
      <c r="T60" s="166"/>
      <c r="U60" s="166"/>
      <c r="V60" s="166"/>
      <c r="W60" s="166"/>
      <c r="X60" s="166"/>
      <c r="Y60" s="166"/>
      <c r="Z60" s="166"/>
      <c r="AA60" s="166"/>
      <c r="AB60" s="166"/>
      <c r="AC60" s="166"/>
      <c r="AD60" s="166"/>
      <c r="AE60" s="166"/>
      <c r="AF60" s="166"/>
      <c r="AG60" s="166"/>
      <c r="AH60" s="166"/>
      <c r="AI60" s="166"/>
      <c r="AJ60" s="166"/>
      <c r="AK60" s="166"/>
      <c r="AL60" s="3"/>
    </row>
    <row r="61" spans="1:38" ht="13.5" customHeight="1" thickTop="1" thickBot="1">
      <c r="A61" s="3"/>
      <c r="B61" s="244"/>
      <c r="C61" s="238" t="s">
        <v>8</v>
      </c>
      <c r="D61" s="240"/>
      <c r="E61" s="240"/>
      <c r="F61" s="3"/>
      <c r="G61" s="149"/>
      <c r="H61" s="150"/>
      <c r="I61" s="150"/>
      <c r="J61" s="150"/>
      <c r="K61" s="150"/>
      <c r="L61" s="150"/>
      <c r="M61" s="150"/>
      <c r="N61" s="150"/>
      <c r="O61" s="150"/>
      <c r="P61" s="151"/>
      <c r="Q61" s="164"/>
      <c r="R61" s="3"/>
      <c r="S61" s="244"/>
      <c r="T61" s="244"/>
      <c r="U61" s="244"/>
      <c r="V61" s="238" t="s">
        <v>8</v>
      </c>
      <c r="W61" s="241"/>
      <c r="X61" s="241"/>
      <c r="Y61" s="241"/>
      <c r="Z61" s="3"/>
      <c r="AA61" s="149"/>
      <c r="AB61" s="150"/>
      <c r="AC61" s="150"/>
      <c r="AD61" s="150"/>
      <c r="AE61" s="150"/>
      <c r="AF61" s="150"/>
      <c r="AG61" s="150"/>
      <c r="AH61" s="150"/>
      <c r="AI61" s="150"/>
      <c r="AJ61" s="151"/>
      <c r="AK61" s="163"/>
      <c r="AL61" s="3"/>
    </row>
    <row r="62" spans="1:38" ht="13.5" customHeight="1" thickBot="1">
      <c r="A62" s="3"/>
      <c r="B62" s="244"/>
      <c r="C62" s="238"/>
      <c r="D62" s="240"/>
      <c r="E62" s="240"/>
      <c r="F62" s="3"/>
      <c r="G62" s="152"/>
      <c r="H62" s="153"/>
      <c r="I62" s="153"/>
      <c r="J62" s="153"/>
      <c r="K62" s="153"/>
      <c r="L62" s="153"/>
      <c r="M62" s="153"/>
      <c r="N62" s="153"/>
      <c r="O62" s="153"/>
      <c r="P62" s="154"/>
      <c r="Q62" s="164"/>
      <c r="R62" s="3"/>
      <c r="S62" s="244"/>
      <c r="T62" s="244"/>
      <c r="U62" s="244"/>
      <c r="V62" s="238"/>
      <c r="W62" s="241"/>
      <c r="X62" s="241"/>
      <c r="Y62" s="241"/>
      <c r="Z62" s="3"/>
      <c r="AA62" s="152"/>
      <c r="AB62" s="153"/>
      <c r="AC62" s="153"/>
      <c r="AD62" s="153"/>
      <c r="AE62" s="153"/>
      <c r="AF62" s="153"/>
      <c r="AG62" s="153"/>
      <c r="AH62" s="153"/>
      <c r="AI62" s="153"/>
      <c r="AJ62" s="154"/>
      <c r="AK62" s="163"/>
      <c r="AL62" s="3"/>
    </row>
    <row r="63" spans="1:38" ht="13.5" customHeight="1" thickTop="1" thickBot="1">
      <c r="A63" s="3"/>
      <c r="B63" s="245"/>
      <c r="C63" s="238"/>
      <c r="D63" s="240"/>
      <c r="E63" s="240"/>
      <c r="F63" s="3"/>
      <c r="G63" s="152"/>
      <c r="H63" s="153"/>
      <c r="I63" s="153"/>
      <c r="J63" s="153"/>
      <c r="K63" s="153"/>
      <c r="L63" s="153"/>
      <c r="M63" s="153"/>
      <c r="N63" s="153"/>
      <c r="O63" s="153"/>
      <c r="P63" s="154"/>
      <c r="Q63" s="164"/>
      <c r="R63" s="3"/>
      <c r="S63" s="245"/>
      <c r="T63" s="245"/>
      <c r="U63" s="245"/>
      <c r="V63" s="238"/>
      <c r="W63" s="241"/>
      <c r="X63" s="241"/>
      <c r="Y63" s="241"/>
      <c r="Z63" s="3"/>
      <c r="AA63" s="152"/>
      <c r="AB63" s="153"/>
      <c r="AC63" s="153"/>
      <c r="AD63" s="153"/>
      <c r="AE63" s="153"/>
      <c r="AF63" s="153"/>
      <c r="AG63" s="153"/>
      <c r="AH63" s="153"/>
      <c r="AI63" s="153"/>
      <c r="AJ63" s="154"/>
      <c r="AK63" s="163"/>
      <c r="AL63" s="3"/>
    </row>
    <row r="64" spans="1:38" ht="13.5" customHeight="1" thickBot="1">
      <c r="A64" s="3"/>
      <c r="B64" s="246"/>
      <c r="C64" s="238"/>
      <c r="D64" s="240"/>
      <c r="E64" s="240"/>
      <c r="F64" s="3"/>
      <c r="G64" s="152"/>
      <c r="H64" s="153"/>
      <c r="I64" s="153"/>
      <c r="J64" s="153"/>
      <c r="K64" s="153"/>
      <c r="L64" s="153"/>
      <c r="M64" s="153"/>
      <c r="N64" s="153"/>
      <c r="O64" s="153"/>
      <c r="P64" s="154"/>
      <c r="Q64" s="164"/>
      <c r="R64" s="3"/>
      <c r="S64" s="246"/>
      <c r="T64" s="246"/>
      <c r="U64" s="246"/>
      <c r="V64" s="238"/>
      <c r="W64" s="241"/>
      <c r="X64" s="241"/>
      <c r="Y64" s="241"/>
      <c r="Z64" s="3"/>
      <c r="AA64" s="152"/>
      <c r="AB64" s="153"/>
      <c r="AC64" s="153"/>
      <c r="AD64" s="153"/>
      <c r="AE64" s="153"/>
      <c r="AF64" s="153"/>
      <c r="AG64" s="153"/>
      <c r="AH64" s="153"/>
      <c r="AI64" s="153"/>
      <c r="AJ64" s="154"/>
      <c r="AK64" s="163"/>
      <c r="AL64" s="3"/>
    </row>
    <row r="65" spans="1:38" ht="13.5" customHeight="1" thickBot="1">
      <c r="A65" s="3"/>
      <c r="B65" s="242" t="e">
        <f>IF(B61/B63=0.75,"J","L")</f>
        <v>#DIV/0!</v>
      </c>
      <c r="C65" s="3"/>
      <c r="D65" s="243" t="str">
        <f>IF(D61=0.75,"J","L")</f>
        <v>L</v>
      </c>
      <c r="E65" s="243"/>
      <c r="F65" s="3"/>
      <c r="G65" s="152"/>
      <c r="H65" s="153"/>
      <c r="I65" s="153"/>
      <c r="J65" s="153"/>
      <c r="K65" s="153"/>
      <c r="L65" s="153"/>
      <c r="M65" s="153"/>
      <c r="N65" s="153"/>
      <c r="O65" s="153"/>
      <c r="P65" s="154"/>
      <c r="Q65" s="164"/>
      <c r="R65" s="3"/>
      <c r="S65" s="242" t="e">
        <f>IF(S61/S63=1,"J","L")</f>
        <v>#DIV/0!</v>
      </c>
      <c r="T65" s="242"/>
      <c r="U65" s="242"/>
      <c r="V65" s="3"/>
      <c r="W65" s="243" t="str">
        <f>IF(W61=1,"J","L")</f>
        <v>L</v>
      </c>
      <c r="X65" s="243"/>
      <c r="Y65" s="243"/>
      <c r="Z65" s="3"/>
      <c r="AA65" s="152"/>
      <c r="AB65" s="153"/>
      <c r="AC65" s="153"/>
      <c r="AD65" s="153"/>
      <c r="AE65" s="153"/>
      <c r="AF65" s="153"/>
      <c r="AG65" s="153"/>
      <c r="AH65" s="153"/>
      <c r="AI65" s="153"/>
      <c r="AJ65" s="154"/>
      <c r="AK65" s="163"/>
      <c r="AL65" s="3"/>
    </row>
    <row r="66" spans="1:38" ht="13.5" customHeight="1" thickBot="1">
      <c r="A66" s="3"/>
      <c r="B66" s="242"/>
      <c r="C66" s="3"/>
      <c r="D66" s="243"/>
      <c r="E66" s="243"/>
      <c r="F66" s="3"/>
      <c r="G66" s="142"/>
      <c r="H66" s="143"/>
      <c r="I66" s="143"/>
      <c r="J66" s="143"/>
      <c r="K66" s="143"/>
      <c r="L66" s="153"/>
      <c r="M66" s="153"/>
      <c r="N66" s="153"/>
      <c r="O66" s="153"/>
      <c r="P66" s="154"/>
      <c r="Q66" s="164"/>
      <c r="R66" s="3"/>
      <c r="S66" s="242"/>
      <c r="T66" s="242"/>
      <c r="U66" s="242"/>
      <c r="V66" s="3"/>
      <c r="W66" s="243"/>
      <c r="X66" s="243"/>
      <c r="Y66" s="243"/>
      <c r="Z66" s="3"/>
      <c r="AA66" s="152"/>
      <c r="AB66" s="153"/>
      <c r="AC66" s="153"/>
      <c r="AD66" s="153"/>
      <c r="AE66" s="153"/>
      <c r="AF66" s="153"/>
      <c r="AG66" s="153"/>
      <c r="AH66" s="153"/>
      <c r="AI66" s="153"/>
      <c r="AJ66" s="154"/>
      <c r="AK66" s="163"/>
      <c r="AL66" s="3"/>
    </row>
    <row r="67" spans="1:38" ht="13.5" customHeight="1" thickBot="1">
      <c r="A67" s="3"/>
      <c r="B67" s="3"/>
      <c r="C67" s="3"/>
      <c r="D67" s="3"/>
      <c r="E67" s="3"/>
      <c r="F67" s="3"/>
      <c r="G67" s="142"/>
      <c r="H67" s="143"/>
      <c r="I67" s="143"/>
      <c r="J67" s="143"/>
      <c r="K67" s="143"/>
      <c r="L67" s="153"/>
      <c r="M67" s="153"/>
      <c r="N67" s="153"/>
      <c r="O67" s="153"/>
      <c r="P67" s="154"/>
      <c r="Q67" s="164"/>
      <c r="R67" s="3"/>
      <c r="S67" s="3"/>
      <c r="T67" s="3"/>
      <c r="U67" s="3"/>
      <c r="V67" s="3"/>
      <c r="W67" s="3"/>
      <c r="X67" s="3"/>
      <c r="Y67" s="3"/>
      <c r="Z67" s="3"/>
      <c r="AA67" s="152"/>
      <c r="AB67" s="153"/>
      <c r="AC67" s="153"/>
      <c r="AD67" s="153"/>
      <c r="AE67" s="153"/>
      <c r="AF67" s="153"/>
      <c r="AG67" s="153"/>
      <c r="AH67" s="153"/>
      <c r="AI67" s="153"/>
      <c r="AJ67" s="154"/>
      <c r="AK67" s="163"/>
      <c r="AL67" s="3"/>
    </row>
    <row r="68" spans="1:38" ht="13.5" customHeight="1" thickBot="1">
      <c r="A68" s="3"/>
      <c r="B68" s="3"/>
      <c r="C68" s="3"/>
      <c r="D68" s="3"/>
      <c r="E68" s="3"/>
      <c r="F68" s="3"/>
      <c r="G68" s="142"/>
      <c r="H68" s="143"/>
      <c r="I68" s="143"/>
      <c r="J68" s="143"/>
      <c r="K68" s="143"/>
      <c r="L68" s="153"/>
      <c r="M68" s="153"/>
      <c r="N68" s="153"/>
      <c r="O68" s="153"/>
      <c r="P68" s="154"/>
      <c r="Q68" s="164"/>
      <c r="R68" s="3"/>
      <c r="S68" s="3"/>
      <c r="T68" s="3"/>
      <c r="U68" s="3"/>
      <c r="V68" s="3"/>
      <c r="W68" s="3"/>
      <c r="X68" s="3"/>
      <c r="Y68" s="3"/>
      <c r="Z68" s="3"/>
      <c r="AA68" s="152"/>
      <c r="AB68" s="153"/>
      <c r="AC68" s="153"/>
      <c r="AD68" s="153"/>
      <c r="AE68" s="153"/>
      <c r="AF68" s="153"/>
      <c r="AG68" s="153"/>
      <c r="AH68" s="153"/>
      <c r="AI68" s="153"/>
      <c r="AJ68" s="154"/>
      <c r="AK68" s="163"/>
      <c r="AL68" s="3"/>
    </row>
    <row r="69" spans="1:38" ht="13.5" customHeight="1" thickBot="1">
      <c r="A69" s="3"/>
      <c r="B69" s="3"/>
      <c r="C69" s="3"/>
      <c r="D69" s="3"/>
      <c r="E69" s="3"/>
      <c r="F69" s="3"/>
      <c r="G69" s="142"/>
      <c r="H69" s="143"/>
      <c r="I69" s="143"/>
      <c r="J69" s="143"/>
      <c r="K69" s="143"/>
      <c r="L69" s="153"/>
      <c r="M69" s="153"/>
      <c r="N69" s="153"/>
      <c r="O69" s="153"/>
      <c r="P69" s="154"/>
      <c r="Q69" s="164"/>
      <c r="R69" s="3"/>
      <c r="S69" s="3"/>
      <c r="T69" s="3"/>
      <c r="U69" s="3"/>
      <c r="V69" s="3"/>
      <c r="W69" s="3"/>
      <c r="X69" s="3"/>
      <c r="Y69" s="3"/>
      <c r="Z69" s="3"/>
      <c r="AA69" s="152"/>
      <c r="AB69" s="153"/>
      <c r="AC69" s="153"/>
      <c r="AD69" s="153"/>
      <c r="AE69" s="153"/>
      <c r="AF69" s="153"/>
      <c r="AG69" s="153"/>
      <c r="AH69" s="153"/>
      <c r="AI69" s="153"/>
      <c r="AJ69" s="154"/>
      <c r="AK69" s="163"/>
      <c r="AL69" s="3"/>
    </row>
    <row r="70" spans="1:38" ht="13.5" customHeight="1" thickBot="1">
      <c r="A70" s="3"/>
      <c r="B70" s="3"/>
      <c r="C70" s="3"/>
      <c r="D70" s="3"/>
      <c r="E70" s="3"/>
      <c r="F70" s="3"/>
      <c r="G70" s="145"/>
      <c r="H70" s="146"/>
      <c r="I70" s="146"/>
      <c r="J70" s="146"/>
      <c r="K70" s="146"/>
      <c r="L70" s="159"/>
      <c r="M70" s="159"/>
      <c r="N70" s="159"/>
      <c r="O70" s="159"/>
      <c r="P70" s="160"/>
      <c r="Q70" s="164"/>
      <c r="R70" s="3"/>
      <c r="S70" s="3"/>
      <c r="T70" s="3"/>
      <c r="U70" s="3"/>
      <c r="V70" s="3"/>
      <c r="W70" s="3"/>
      <c r="X70" s="3"/>
      <c r="Y70" s="3"/>
      <c r="Z70" s="3"/>
      <c r="AA70" s="158"/>
      <c r="AB70" s="159"/>
      <c r="AC70" s="159"/>
      <c r="AD70" s="159"/>
      <c r="AE70" s="159"/>
      <c r="AF70" s="159"/>
      <c r="AG70" s="159"/>
      <c r="AH70" s="159"/>
      <c r="AI70" s="159"/>
      <c r="AJ70" s="160"/>
      <c r="AK70" s="163"/>
      <c r="AL70" s="3"/>
    </row>
    <row r="71" spans="1:38" ht="13.5" customHeight="1" thickTop="1" thickBot="1">
      <c r="A71" s="3"/>
      <c r="B71" s="3"/>
      <c r="C71" s="3"/>
      <c r="D71" s="3"/>
      <c r="E71" s="3"/>
      <c r="F71" s="3"/>
      <c r="G71" s="168"/>
      <c r="H71" s="168"/>
      <c r="I71" s="168"/>
      <c r="J71" s="168"/>
      <c r="K71" s="168"/>
      <c r="L71" s="168"/>
      <c r="M71" s="168"/>
      <c r="N71" s="168"/>
      <c r="O71" s="168"/>
      <c r="P71" s="168"/>
      <c r="Q71" s="164"/>
      <c r="R71" s="169"/>
      <c r="S71" s="170"/>
      <c r="T71" s="170"/>
      <c r="U71" s="170"/>
      <c r="V71" s="170"/>
      <c r="W71" s="170"/>
      <c r="X71" s="170"/>
      <c r="Y71" s="170"/>
      <c r="Z71" s="170"/>
      <c r="AA71" s="171"/>
      <c r="AB71" s="171"/>
      <c r="AC71" s="171"/>
      <c r="AD71" s="171"/>
      <c r="AE71" s="171"/>
      <c r="AF71" s="171"/>
      <c r="AG71" s="171"/>
      <c r="AH71" s="171"/>
      <c r="AI71" s="171"/>
      <c r="AJ71" s="171"/>
      <c r="AK71" s="170"/>
      <c r="AL71" s="3"/>
    </row>
    <row r="72" spans="1:38" ht="15.75" customHeight="1" thickTop="1" thickBot="1">
      <c r="A72" s="165" t="s">
        <v>51</v>
      </c>
      <c r="B72" s="166"/>
      <c r="C72" s="166"/>
      <c r="D72" s="166"/>
      <c r="E72" s="166"/>
      <c r="F72" s="166"/>
      <c r="G72" s="166"/>
      <c r="H72" s="166"/>
      <c r="I72" s="166"/>
      <c r="J72" s="166"/>
      <c r="K72" s="166"/>
      <c r="L72" s="166"/>
      <c r="M72" s="166"/>
      <c r="N72" s="166"/>
      <c r="O72" s="166"/>
      <c r="P72" s="166"/>
      <c r="Q72" s="166"/>
      <c r="R72" s="3"/>
      <c r="S72" s="3"/>
      <c r="T72" s="3"/>
      <c r="U72" s="3"/>
      <c r="V72" s="3"/>
      <c r="W72" s="3"/>
      <c r="X72" s="3"/>
      <c r="Y72" s="3"/>
      <c r="Z72" s="3"/>
      <c r="AA72" s="168"/>
      <c r="AB72" s="168"/>
      <c r="AC72" s="168"/>
      <c r="AD72" s="168"/>
      <c r="AE72" s="168"/>
      <c r="AF72" s="168"/>
      <c r="AG72" s="168"/>
      <c r="AH72" s="168"/>
      <c r="AI72" s="168"/>
      <c r="AJ72" s="168"/>
      <c r="AK72" s="163"/>
      <c r="AL72" s="3"/>
    </row>
    <row r="73" spans="1:38" ht="13.5" customHeight="1" thickTop="1" thickBot="1">
      <c r="A73" s="3"/>
      <c r="B73" s="244"/>
      <c r="C73" s="238" t="s">
        <v>8</v>
      </c>
      <c r="D73" s="240"/>
      <c r="E73" s="240"/>
      <c r="F73" s="3"/>
      <c r="G73" s="149"/>
      <c r="H73" s="150"/>
      <c r="I73" s="150"/>
      <c r="J73" s="150"/>
      <c r="K73" s="150"/>
      <c r="L73" s="150"/>
      <c r="M73" s="150"/>
      <c r="N73" s="150"/>
      <c r="O73" s="150"/>
      <c r="P73" s="151"/>
      <c r="Q73" s="168"/>
      <c r="R73" s="149"/>
      <c r="S73" s="150"/>
      <c r="T73" s="150"/>
      <c r="U73" s="150"/>
      <c r="V73" s="150"/>
      <c r="W73" s="150"/>
      <c r="X73" s="150"/>
      <c r="Y73" s="150"/>
      <c r="Z73" s="150"/>
      <c r="AA73" s="151"/>
      <c r="AB73" s="168"/>
      <c r="AC73" s="168"/>
      <c r="AD73" s="168"/>
      <c r="AE73" s="168"/>
      <c r="AF73" s="168"/>
      <c r="AG73" s="168"/>
      <c r="AH73" s="168"/>
      <c r="AI73" s="168"/>
      <c r="AJ73" s="168"/>
      <c r="AK73" s="163"/>
      <c r="AL73" s="3"/>
    </row>
    <row r="74" spans="1:38" ht="13.5" customHeight="1" thickBot="1">
      <c r="A74" s="248"/>
      <c r="B74" s="244"/>
      <c r="C74" s="238"/>
      <c r="D74" s="240"/>
      <c r="E74" s="240"/>
      <c r="F74" s="3"/>
      <c r="G74" s="152"/>
      <c r="H74" s="153"/>
      <c r="I74" s="153"/>
      <c r="J74" s="153"/>
      <c r="K74" s="153"/>
      <c r="L74" s="153"/>
      <c r="M74" s="153"/>
      <c r="N74" s="153"/>
      <c r="O74" s="153"/>
      <c r="P74" s="154"/>
      <c r="Q74" s="168"/>
      <c r="R74" s="152"/>
      <c r="S74" s="153"/>
      <c r="T74" s="153"/>
      <c r="U74" s="153"/>
      <c r="V74" s="153"/>
      <c r="W74" s="153"/>
      <c r="X74" s="153"/>
      <c r="Y74" s="153"/>
      <c r="Z74" s="153"/>
      <c r="AA74" s="154"/>
      <c r="AB74" s="168"/>
      <c r="AC74" s="168"/>
      <c r="AD74" s="168"/>
      <c r="AE74" s="168"/>
      <c r="AF74" s="168"/>
      <c r="AG74" s="168"/>
      <c r="AH74" s="168"/>
      <c r="AI74" s="168"/>
      <c r="AJ74" s="168"/>
      <c r="AK74" s="163"/>
      <c r="AL74" s="3"/>
    </row>
    <row r="75" spans="1:38" ht="13.5" customHeight="1" thickTop="1" thickBot="1">
      <c r="A75" s="248"/>
      <c r="B75" s="245"/>
      <c r="C75" s="238"/>
      <c r="D75" s="240"/>
      <c r="E75" s="240"/>
      <c r="F75" s="3"/>
      <c r="G75" s="152"/>
      <c r="H75" s="153"/>
      <c r="I75" s="153"/>
      <c r="J75" s="153"/>
      <c r="K75" s="153"/>
      <c r="L75" s="153"/>
      <c r="M75" s="153"/>
      <c r="N75" s="153"/>
      <c r="O75" s="153"/>
      <c r="P75" s="154"/>
      <c r="Q75" s="168"/>
      <c r="R75" s="152"/>
      <c r="S75" s="153"/>
      <c r="T75" s="153"/>
      <c r="U75" s="153"/>
      <c r="V75" s="153"/>
      <c r="W75" s="153"/>
      <c r="X75" s="153"/>
      <c r="Y75" s="153"/>
      <c r="Z75" s="153"/>
      <c r="AA75" s="154"/>
      <c r="AB75" s="168"/>
      <c r="AC75" s="168"/>
      <c r="AD75" s="168"/>
      <c r="AE75" s="168"/>
      <c r="AF75" s="168"/>
      <c r="AG75" s="168"/>
      <c r="AH75" s="168"/>
      <c r="AI75" s="168"/>
      <c r="AJ75" s="168"/>
      <c r="AK75" s="163"/>
      <c r="AL75" s="3"/>
    </row>
    <row r="76" spans="1:38" ht="13.5" customHeight="1" thickBot="1">
      <c r="A76" s="3"/>
      <c r="B76" s="246"/>
      <c r="C76" s="238"/>
      <c r="D76" s="240"/>
      <c r="E76" s="240"/>
      <c r="F76" s="3"/>
      <c r="G76" s="152"/>
      <c r="H76" s="153"/>
      <c r="I76" s="153"/>
      <c r="J76" s="153"/>
      <c r="K76" s="153"/>
      <c r="L76" s="153"/>
      <c r="M76" s="153"/>
      <c r="N76" s="153"/>
      <c r="O76" s="153"/>
      <c r="P76" s="154"/>
      <c r="Q76" s="168"/>
      <c r="R76" s="152"/>
      <c r="S76" s="153"/>
      <c r="T76" s="153"/>
      <c r="U76" s="153"/>
      <c r="V76" s="153"/>
      <c r="W76" s="153"/>
      <c r="X76" s="153"/>
      <c r="Y76" s="153"/>
      <c r="Z76" s="153"/>
      <c r="AA76" s="154"/>
      <c r="AB76" s="168"/>
      <c r="AC76" s="168"/>
      <c r="AD76" s="168"/>
      <c r="AE76" s="168"/>
      <c r="AF76" s="168"/>
      <c r="AG76" s="168"/>
      <c r="AH76" s="168"/>
      <c r="AI76" s="168"/>
      <c r="AJ76" s="168"/>
      <c r="AK76" s="163"/>
      <c r="AL76" s="3"/>
    </row>
    <row r="77" spans="1:38" ht="13.5" customHeight="1" thickBot="1">
      <c r="A77" s="3"/>
      <c r="B77" s="242" t="e">
        <f>IF((A74*B75+B73)/B75=1.8,"J","L")</f>
        <v>#DIV/0!</v>
      </c>
      <c r="C77" s="3"/>
      <c r="D77" s="243" t="str">
        <f>IF(D73=1.8,"J","L")</f>
        <v>L</v>
      </c>
      <c r="E77" s="243"/>
      <c r="F77" s="3"/>
      <c r="G77" s="152"/>
      <c r="H77" s="153"/>
      <c r="I77" s="153"/>
      <c r="J77" s="153"/>
      <c r="K77" s="153"/>
      <c r="L77" s="153"/>
      <c r="M77" s="153"/>
      <c r="N77" s="153"/>
      <c r="O77" s="153"/>
      <c r="P77" s="154"/>
      <c r="Q77" s="168"/>
      <c r="R77" s="152"/>
      <c r="S77" s="153"/>
      <c r="T77" s="153"/>
      <c r="U77" s="153"/>
      <c r="V77" s="153"/>
      <c r="W77" s="153"/>
      <c r="X77" s="153"/>
      <c r="Y77" s="153"/>
      <c r="Z77" s="153"/>
      <c r="AA77" s="154"/>
      <c r="AB77" s="168"/>
      <c r="AC77" s="168"/>
      <c r="AD77" s="168"/>
      <c r="AE77" s="168"/>
      <c r="AF77" s="168"/>
      <c r="AG77" s="168"/>
      <c r="AH77" s="168"/>
      <c r="AI77" s="168"/>
      <c r="AJ77" s="168"/>
      <c r="AK77" s="163"/>
      <c r="AL77" s="3"/>
    </row>
    <row r="78" spans="1:38" ht="13.5" customHeight="1" thickBot="1">
      <c r="A78" s="3"/>
      <c r="B78" s="242"/>
      <c r="C78" s="3"/>
      <c r="D78" s="243"/>
      <c r="E78" s="243"/>
      <c r="F78" s="3"/>
      <c r="G78" s="152"/>
      <c r="H78" s="153"/>
      <c r="I78" s="153"/>
      <c r="J78" s="153"/>
      <c r="K78" s="153"/>
      <c r="L78" s="153"/>
      <c r="M78" s="153"/>
      <c r="N78" s="153"/>
      <c r="O78" s="153"/>
      <c r="P78" s="154"/>
      <c r="Q78" s="168"/>
      <c r="R78" s="152"/>
      <c r="S78" s="153"/>
      <c r="T78" s="153"/>
      <c r="U78" s="153"/>
      <c r="V78" s="153"/>
      <c r="W78" s="153"/>
      <c r="X78" s="153"/>
      <c r="Y78" s="153"/>
      <c r="Z78" s="153"/>
      <c r="AA78" s="154"/>
      <c r="AB78" s="168"/>
      <c r="AC78" s="168"/>
      <c r="AD78" s="168"/>
      <c r="AE78" s="168"/>
      <c r="AF78" s="168"/>
      <c r="AG78" s="168"/>
      <c r="AH78" s="168"/>
      <c r="AI78" s="168"/>
      <c r="AJ78" s="168"/>
      <c r="AK78" s="163"/>
      <c r="AL78" s="3"/>
    </row>
    <row r="79" spans="1:38" ht="13.5" customHeight="1" thickBot="1">
      <c r="A79" s="3"/>
      <c r="B79" s="3"/>
      <c r="C79" s="3"/>
      <c r="D79" s="3"/>
      <c r="E79" s="3"/>
      <c r="F79" s="3"/>
      <c r="G79" s="152"/>
      <c r="H79" s="153"/>
      <c r="I79" s="153"/>
      <c r="J79" s="153"/>
      <c r="K79" s="153"/>
      <c r="L79" s="153"/>
      <c r="M79" s="153"/>
      <c r="N79" s="153"/>
      <c r="O79" s="153"/>
      <c r="P79" s="154"/>
      <c r="Q79" s="168"/>
      <c r="R79" s="152"/>
      <c r="S79" s="153"/>
      <c r="T79" s="153"/>
      <c r="U79" s="153"/>
      <c r="V79" s="153"/>
      <c r="W79" s="153"/>
      <c r="X79" s="153"/>
      <c r="Y79" s="153"/>
      <c r="Z79" s="153"/>
      <c r="AA79" s="154"/>
      <c r="AB79" s="168"/>
      <c r="AC79" s="168"/>
      <c r="AD79" s="168"/>
      <c r="AE79" s="168"/>
      <c r="AF79" s="168"/>
      <c r="AG79" s="168"/>
      <c r="AH79" s="168"/>
      <c r="AI79" s="168"/>
      <c r="AJ79" s="168"/>
      <c r="AK79" s="163"/>
      <c r="AL79" s="3"/>
    </row>
    <row r="80" spans="1:38" ht="13.5" customHeight="1" thickBot="1">
      <c r="A80" s="3"/>
      <c r="B80" s="3"/>
      <c r="C80" s="3"/>
      <c r="D80" s="3"/>
      <c r="E80" s="3"/>
      <c r="F80" s="3"/>
      <c r="G80" s="152"/>
      <c r="H80" s="153"/>
      <c r="I80" s="153"/>
      <c r="J80" s="153"/>
      <c r="K80" s="153"/>
      <c r="L80" s="153"/>
      <c r="M80" s="153"/>
      <c r="N80" s="153"/>
      <c r="O80" s="153"/>
      <c r="P80" s="154"/>
      <c r="Q80" s="168"/>
      <c r="R80" s="152"/>
      <c r="S80" s="153"/>
      <c r="T80" s="153"/>
      <c r="U80" s="153"/>
      <c r="V80" s="153"/>
      <c r="W80" s="153"/>
      <c r="X80" s="153"/>
      <c r="Y80" s="153"/>
      <c r="Z80" s="153"/>
      <c r="AA80" s="154"/>
      <c r="AB80" s="168"/>
      <c r="AC80" s="168"/>
      <c r="AD80" s="168"/>
      <c r="AE80" s="168"/>
      <c r="AF80" s="168"/>
      <c r="AG80" s="168"/>
      <c r="AH80" s="168"/>
      <c r="AI80" s="168"/>
      <c r="AJ80" s="168"/>
      <c r="AK80" s="163"/>
      <c r="AL80" s="3"/>
    </row>
    <row r="81" spans="1:38" ht="13.5" customHeight="1" thickBot="1">
      <c r="A81" s="3"/>
      <c r="B81" s="3"/>
      <c r="C81" s="3"/>
      <c r="D81" s="3"/>
      <c r="E81" s="3"/>
      <c r="F81" s="3"/>
      <c r="G81" s="152"/>
      <c r="H81" s="153"/>
      <c r="I81" s="153"/>
      <c r="J81" s="153"/>
      <c r="K81" s="153"/>
      <c r="L81" s="153"/>
      <c r="M81" s="153"/>
      <c r="N81" s="153"/>
      <c r="O81" s="153"/>
      <c r="P81" s="154"/>
      <c r="Q81" s="168"/>
      <c r="R81" s="142"/>
      <c r="S81" s="143"/>
      <c r="T81" s="143"/>
      <c r="U81" s="143"/>
      <c r="V81" s="143"/>
      <c r="W81" s="143"/>
      <c r="X81" s="143"/>
      <c r="Y81" s="143"/>
      <c r="Z81" s="143"/>
      <c r="AA81" s="143"/>
      <c r="AB81" s="168"/>
      <c r="AC81" s="168"/>
      <c r="AD81" s="168"/>
      <c r="AE81" s="168"/>
      <c r="AF81" s="168"/>
      <c r="AG81" s="168"/>
      <c r="AH81" s="168"/>
      <c r="AI81" s="168"/>
      <c r="AJ81" s="168"/>
      <c r="AK81" s="163"/>
      <c r="AL81" s="3"/>
    </row>
    <row r="82" spans="1:38" ht="13.5" customHeight="1" thickBot="1">
      <c r="A82" s="3"/>
      <c r="B82" s="3"/>
      <c r="C82" s="3"/>
      <c r="D82" s="3"/>
      <c r="E82" s="3"/>
      <c r="F82" s="3"/>
      <c r="G82" s="158"/>
      <c r="H82" s="159"/>
      <c r="I82" s="159"/>
      <c r="J82" s="159"/>
      <c r="K82" s="159"/>
      <c r="L82" s="159"/>
      <c r="M82" s="159"/>
      <c r="N82" s="159"/>
      <c r="O82" s="159"/>
      <c r="P82" s="160"/>
      <c r="Q82" s="168"/>
      <c r="R82" s="145"/>
      <c r="S82" s="146"/>
      <c r="T82" s="146"/>
      <c r="U82" s="146"/>
      <c r="V82" s="143"/>
      <c r="W82" s="143"/>
      <c r="X82" s="143"/>
      <c r="Y82" s="143"/>
      <c r="Z82" s="143"/>
      <c r="AA82" s="143"/>
      <c r="AB82" s="168"/>
      <c r="AC82" s="168"/>
      <c r="AD82" s="168"/>
      <c r="AE82" s="168"/>
      <c r="AF82" s="168"/>
      <c r="AG82" s="168"/>
      <c r="AH82" s="168"/>
      <c r="AI82" s="168"/>
      <c r="AJ82" s="168"/>
      <c r="AK82" s="163"/>
      <c r="AL82" s="3"/>
    </row>
    <row r="83" spans="1:38" ht="13.5" customHeight="1" thickTop="1" thickBot="1">
      <c r="A83" s="3"/>
      <c r="B83" s="3"/>
      <c r="C83" s="3"/>
      <c r="D83" s="3"/>
      <c r="E83" s="3"/>
      <c r="F83" s="3"/>
      <c r="G83" s="168"/>
      <c r="H83" s="168"/>
      <c r="I83" s="168"/>
      <c r="J83" s="168"/>
      <c r="K83" s="168"/>
      <c r="L83" s="168"/>
      <c r="M83" s="168"/>
      <c r="N83" s="168"/>
      <c r="O83" s="168"/>
      <c r="P83" s="168"/>
      <c r="Q83" s="168"/>
      <c r="R83" s="3"/>
      <c r="S83" s="3"/>
      <c r="T83" s="3"/>
      <c r="U83" s="3"/>
      <c r="V83" s="3"/>
      <c r="W83" s="3"/>
      <c r="X83" s="3"/>
      <c r="Y83" s="3"/>
      <c r="Z83" s="3"/>
      <c r="AA83" s="168"/>
      <c r="AB83" s="168"/>
      <c r="AC83" s="168"/>
      <c r="AD83" s="168"/>
      <c r="AE83" s="168"/>
      <c r="AF83" s="168"/>
      <c r="AG83" s="168"/>
      <c r="AH83" s="168"/>
      <c r="AI83" s="168"/>
      <c r="AJ83" s="168"/>
      <c r="AK83" s="163"/>
      <c r="AL83" s="3"/>
    </row>
    <row r="84" spans="1:38" ht="16.5" customHeight="1" thickTop="1" thickBot="1">
      <c r="A84" s="165" t="s">
        <v>52</v>
      </c>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3"/>
    </row>
    <row r="85" spans="1:38" ht="13.5" customHeight="1" thickTop="1" thickBot="1">
      <c r="A85" s="3"/>
      <c r="B85" s="244"/>
      <c r="C85" s="238" t="s">
        <v>8</v>
      </c>
      <c r="D85" s="240"/>
      <c r="E85" s="240"/>
      <c r="F85" s="3"/>
      <c r="G85" s="149"/>
      <c r="H85" s="150"/>
      <c r="I85" s="150"/>
      <c r="J85" s="150"/>
      <c r="K85" s="150"/>
      <c r="L85" s="150"/>
      <c r="M85" s="150"/>
      <c r="N85" s="150"/>
      <c r="O85" s="150"/>
      <c r="P85" s="151"/>
      <c r="Q85" s="168"/>
      <c r="R85" s="149"/>
      <c r="S85" s="150"/>
      <c r="T85" s="150"/>
      <c r="U85" s="150"/>
      <c r="V85" s="150"/>
      <c r="W85" s="139"/>
      <c r="X85" s="139"/>
      <c r="Y85" s="139"/>
      <c r="Z85" s="139"/>
      <c r="AA85" s="140"/>
      <c r="AB85" s="168"/>
      <c r="AC85" s="168"/>
      <c r="AD85" s="168"/>
      <c r="AE85" s="168"/>
      <c r="AF85" s="168"/>
      <c r="AG85" s="168"/>
      <c r="AH85" s="168"/>
      <c r="AI85" s="168"/>
      <c r="AJ85" s="168"/>
      <c r="AK85" s="163"/>
      <c r="AL85" s="3"/>
    </row>
    <row r="86" spans="1:38" ht="13.5" customHeight="1" thickBot="1">
      <c r="A86" s="248"/>
      <c r="B86" s="244"/>
      <c r="C86" s="238"/>
      <c r="D86" s="240"/>
      <c r="E86" s="240"/>
      <c r="F86" s="3"/>
      <c r="G86" s="152"/>
      <c r="H86" s="153"/>
      <c r="I86" s="153"/>
      <c r="J86" s="153"/>
      <c r="K86" s="153"/>
      <c r="L86" s="153"/>
      <c r="M86" s="153"/>
      <c r="N86" s="153"/>
      <c r="O86" s="153"/>
      <c r="P86" s="154"/>
      <c r="Q86" s="168"/>
      <c r="R86" s="142"/>
      <c r="S86" s="143"/>
      <c r="T86" s="143"/>
      <c r="U86" s="143"/>
      <c r="V86" s="143"/>
      <c r="W86" s="143"/>
      <c r="X86" s="143"/>
      <c r="Y86" s="143"/>
      <c r="Z86" s="143"/>
      <c r="AA86" s="144"/>
      <c r="AB86" s="168"/>
      <c r="AC86" s="168"/>
      <c r="AD86" s="168"/>
      <c r="AE86" s="168"/>
      <c r="AF86" s="168"/>
      <c r="AG86" s="168"/>
      <c r="AH86" s="168"/>
      <c r="AI86" s="168"/>
      <c r="AJ86" s="168"/>
      <c r="AK86" s="163"/>
      <c r="AL86" s="3"/>
    </row>
    <row r="87" spans="1:38" ht="13.5" customHeight="1" thickTop="1" thickBot="1">
      <c r="A87" s="248"/>
      <c r="B87" s="245"/>
      <c r="C87" s="238"/>
      <c r="D87" s="240"/>
      <c r="E87" s="240"/>
      <c r="F87" s="3"/>
      <c r="G87" s="152"/>
      <c r="H87" s="153"/>
      <c r="I87" s="153"/>
      <c r="J87" s="153"/>
      <c r="K87" s="153"/>
      <c r="L87" s="153"/>
      <c r="M87" s="153"/>
      <c r="N87" s="153"/>
      <c r="O87" s="153"/>
      <c r="P87" s="154"/>
      <c r="Q87" s="168"/>
      <c r="R87" s="142"/>
      <c r="S87" s="143"/>
      <c r="T87" s="143"/>
      <c r="U87" s="143"/>
      <c r="V87" s="143"/>
      <c r="W87" s="143"/>
      <c r="X87" s="143"/>
      <c r="Y87" s="143"/>
      <c r="Z87" s="143"/>
      <c r="AA87" s="144"/>
      <c r="AB87" s="168"/>
      <c r="AC87" s="168"/>
      <c r="AD87" s="168"/>
      <c r="AE87" s="168"/>
      <c r="AF87" s="168"/>
      <c r="AG87" s="168"/>
      <c r="AH87" s="168"/>
      <c r="AI87" s="168"/>
      <c r="AJ87" s="168"/>
      <c r="AK87" s="163"/>
      <c r="AL87" s="3"/>
    </row>
    <row r="88" spans="1:38" ht="13.5" customHeight="1" thickBot="1">
      <c r="A88" s="3"/>
      <c r="B88" s="246"/>
      <c r="C88" s="238"/>
      <c r="D88" s="240"/>
      <c r="E88" s="240"/>
      <c r="F88" s="3"/>
      <c r="G88" s="152"/>
      <c r="H88" s="153"/>
      <c r="I88" s="153"/>
      <c r="J88" s="153"/>
      <c r="K88" s="153"/>
      <c r="L88" s="153"/>
      <c r="M88" s="153"/>
      <c r="N88" s="153"/>
      <c r="O88" s="153"/>
      <c r="P88" s="154"/>
      <c r="Q88" s="168"/>
      <c r="R88" s="142"/>
      <c r="S88" s="143"/>
      <c r="T88" s="143"/>
      <c r="U88" s="143"/>
      <c r="V88" s="143"/>
      <c r="W88" s="143"/>
      <c r="X88" s="143"/>
      <c r="Y88" s="143"/>
      <c r="Z88" s="143"/>
      <c r="AA88" s="144"/>
      <c r="AB88" s="168"/>
      <c r="AC88" s="168"/>
      <c r="AD88" s="168"/>
      <c r="AE88" s="168"/>
      <c r="AF88" s="168"/>
      <c r="AG88" s="168"/>
      <c r="AH88" s="168"/>
      <c r="AI88" s="168"/>
      <c r="AJ88" s="168"/>
      <c r="AK88" s="163"/>
      <c r="AL88" s="3"/>
    </row>
    <row r="89" spans="1:38" ht="13.5" customHeight="1" thickBot="1">
      <c r="A89" s="3"/>
      <c r="B89" s="242" t="e">
        <f>IF((A86*B87+B85)/B87=1.05,"J","L")</f>
        <v>#DIV/0!</v>
      </c>
      <c r="C89" s="3"/>
      <c r="D89" s="243" t="str">
        <f>IF(D85=1.05,"J","L")</f>
        <v>L</v>
      </c>
      <c r="E89" s="243"/>
      <c r="F89" s="3"/>
      <c r="G89" s="152"/>
      <c r="H89" s="153"/>
      <c r="I89" s="153"/>
      <c r="J89" s="153"/>
      <c r="K89" s="153"/>
      <c r="L89" s="153"/>
      <c r="M89" s="153"/>
      <c r="N89" s="153"/>
      <c r="O89" s="153"/>
      <c r="P89" s="154"/>
      <c r="Q89" s="168"/>
      <c r="R89" s="142"/>
      <c r="S89" s="143"/>
      <c r="T89" s="143"/>
      <c r="U89" s="143"/>
      <c r="V89" s="143"/>
      <c r="W89" s="143"/>
      <c r="X89" s="143"/>
      <c r="Y89" s="143"/>
      <c r="Z89" s="143"/>
      <c r="AA89" s="144"/>
      <c r="AB89" s="168"/>
      <c r="AC89" s="168"/>
      <c r="AD89" s="168"/>
      <c r="AE89" s="168"/>
      <c r="AF89" s="168"/>
      <c r="AG89" s="168"/>
      <c r="AH89" s="168"/>
      <c r="AI89" s="168"/>
      <c r="AJ89" s="168"/>
      <c r="AK89" s="163"/>
      <c r="AL89" s="3"/>
    </row>
    <row r="90" spans="1:38" ht="13.5" customHeight="1" thickBot="1">
      <c r="A90" s="3"/>
      <c r="B90" s="242"/>
      <c r="C90" s="3"/>
      <c r="D90" s="243"/>
      <c r="E90" s="243"/>
      <c r="F90" s="3"/>
      <c r="G90" s="152"/>
      <c r="H90" s="153"/>
      <c r="I90" s="153"/>
      <c r="J90" s="153"/>
      <c r="K90" s="153"/>
      <c r="L90" s="153"/>
      <c r="M90" s="153"/>
      <c r="N90" s="153"/>
      <c r="O90" s="153"/>
      <c r="P90" s="154"/>
      <c r="Q90" s="168"/>
      <c r="R90" s="142"/>
      <c r="S90" s="143"/>
      <c r="T90" s="143"/>
      <c r="U90" s="143"/>
      <c r="V90" s="143"/>
      <c r="W90" s="143"/>
      <c r="X90" s="143"/>
      <c r="Y90" s="143"/>
      <c r="Z90" s="143"/>
      <c r="AA90" s="144"/>
      <c r="AB90" s="168"/>
      <c r="AC90" s="168"/>
      <c r="AD90" s="168"/>
      <c r="AE90" s="168"/>
      <c r="AF90" s="168"/>
      <c r="AG90" s="168"/>
      <c r="AH90" s="168"/>
      <c r="AI90" s="168"/>
      <c r="AJ90" s="168"/>
      <c r="AK90" s="163"/>
      <c r="AL90" s="3"/>
    </row>
    <row r="91" spans="1:38" ht="13.5" customHeight="1" thickBot="1">
      <c r="A91" s="3"/>
      <c r="B91" s="3"/>
      <c r="C91" s="3"/>
      <c r="D91" s="3"/>
      <c r="E91" s="3"/>
      <c r="F91" s="3"/>
      <c r="G91" s="152"/>
      <c r="H91" s="153"/>
      <c r="I91" s="153"/>
      <c r="J91" s="153"/>
      <c r="K91" s="153"/>
      <c r="L91" s="153"/>
      <c r="M91" s="153"/>
      <c r="N91" s="153"/>
      <c r="O91" s="153"/>
      <c r="P91" s="154"/>
      <c r="Q91" s="168"/>
      <c r="R91" s="142"/>
      <c r="S91" s="143"/>
      <c r="T91" s="143"/>
      <c r="U91" s="143"/>
      <c r="V91" s="143"/>
      <c r="W91" s="143"/>
      <c r="X91" s="143"/>
      <c r="Y91" s="143"/>
      <c r="Z91" s="143"/>
      <c r="AA91" s="144"/>
      <c r="AB91" s="168"/>
      <c r="AC91" s="168"/>
      <c r="AD91" s="168"/>
      <c r="AE91" s="168"/>
      <c r="AF91" s="168"/>
      <c r="AG91" s="168"/>
      <c r="AH91" s="168"/>
      <c r="AI91" s="168"/>
      <c r="AJ91" s="168"/>
      <c r="AK91" s="163"/>
      <c r="AL91" s="3"/>
    </row>
    <row r="92" spans="1:38" ht="13.5" customHeight="1" thickBot="1">
      <c r="A92" s="3"/>
      <c r="B92" s="3"/>
      <c r="C92" s="3"/>
      <c r="D92" s="3"/>
      <c r="E92" s="3"/>
      <c r="F92" s="3"/>
      <c r="G92" s="152"/>
      <c r="H92" s="153"/>
      <c r="I92" s="153"/>
      <c r="J92" s="153"/>
      <c r="K92" s="153"/>
      <c r="L92" s="153"/>
      <c r="M92" s="153"/>
      <c r="N92" s="153"/>
      <c r="O92" s="153"/>
      <c r="P92" s="154"/>
      <c r="Q92" s="168"/>
      <c r="R92" s="142"/>
      <c r="S92" s="143"/>
      <c r="T92" s="143"/>
      <c r="U92" s="143"/>
      <c r="V92" s="143"/>
      <c r="W92" s="143"/>
      <c r="X92" s="143"/>
      <c r="Y92" s="143"/>
      <c r="Z92" s="143"/>
      <c r="AA92" s="144"/>
      <c r="AB92" s="168"/>
      <c r="AC92" s="168"/>
      <c r="AD92" s="168"/>
      <c r="AE92" s="168"/>
      <c r="AF92" s="168"/>
      <c r="AG92" s="168"/>
      <c r="AH92" s="168"/>
      <c r="AI92" s="168"/>
      <c r="AJ92" s="168"/>
      <c r="AK92" s="163"/>
      <c r="AL92" s="3"/>
    </row>
    <row r="93" spans="1:38" ht="13.5" customHeight="1" thickBot="1">
      <c r="A93" s="3"/>
      <c r="B93" s="3"/>
      <c r="C93" s="3"/>
      <c r="D93" s="3"/>
      <c r="E93" s="3"/>
      <c r="F93" s="3"/>
      <c r="G93" s="152"/>
      <c r="H93" s="153"/>
      <c r="I93" s="153"/>
      <c r="J93" s="153"/>
      <c r="K93" s="153"/>
      <c r="L93" s="153"/>
      <c r="M93" s="153"/>
      <c r="N93" s="153"/>
      <c r="O93" s="153"/>
      <c r="P93" s="154"/>
      <c r="Q93" s="168"/>
      <c r="R93" s="142"/>
      <c r="S93" s="143"/>
      <c r="T93" s="143"/>
      <c r="U93" s="143"/>
      <c r="V93" s="143"/>
      <c r="W93" s="143"/>
      <c r="X93" s="143"/>
      <c r="Y93" s="143"/>
      <c r="Z93" s="143"/>
      <c r="AA93" s="143"/>
      <c r="AB93" s="168"/>
      <c r="AC93" s="168"/>
      <c r="AD93" s="168"/>
      <c r="AE93" s="168"/>
      <c r="AF93" s="168"/>
      <c r="AG93" s="168"/>
      <c r="AH93" s="168"/>
      <c r="AI93" s="168"/>
      <c r="AJ93" s="168"/>
      <c r="AK93" s="163"/>
      <c r="AL93" s="3"/>
    </row>
    <row r="94" spans="1:38" ht="13.5" customHeight="1" thickBot="1">
      <c r="A94" s="3"/>
      <c r="B94" s="3"/>
      <c r="C94" s="3"/>
      <c r="D94" s="3"/>
      <c r="E94" s="3"/>
      <c r="F94" s="3"/>
      <c r="G94" s="158"/>
      <c r="H94" s="159"/>
      <c r="I94" s="159"/>
      <c r="J94" s="159"/>
      <c r="K94" s="159"/>
      <c r="L94" s="159"/>
      <c r="M94" s="159"/>
      <c r="N94" s="159"/>
      <c r="O94" s="159"/>
      <c r="P94" s="160"/>
      <c r="Q94" s="168"/>
      <c r="R94" s="145"/>
      <c r="S94" s="146"/>
      <c r="T94" s="146"/>
      <c r="U94" s="146"/>
      <c r="V94" s="143"/>
      <c r="W94" s="143"/>
      <c r="X94" s="143"/>
      <c r="Y94" s="143"/>
      <c r="Z94" s="143"/>
      <c r="AA94" s="143"/>
      <c r="AB94" s="168"/>
      <c r="AC94" s="168"/>
      <c r="AD94" s="168"/>
      <c r="AE94" s="168"/>
      <c r="AF94" s="168"/>
      <c r="AG94" s="168"/>
      <c r="AH94" s="168"/>
      <c r="AI94" s="168"/>
      <c r="AJ94" s="168"/>
      <c r="AK94" s="163"/>
      <c r="AL94" s="3"/>
    </row>
    <row r="95" spans="1:38" ht="13.5" customHeight="1" thickTop="1">
      <c r="A95" s="3"/>
      <c r="B95" s="3"/>
      <c r="C95" s="3"/>
      <c r="D95" s="3"/>
      <c r="E95" s="3"/>
      <c r="F95" s="3"/>
      <c r="G95" s="168"/>
      <c r="H95" s="168"/>
      <c r="I95" s="168"/>
      <c r="J95" s="168"/>
      <c r="K95" s="168"/>
      <c r="L95" s="168"/>
      <c r="M95" s="168"/>
      <c r="N95" s="168"/>
      <c r="O95" s="168"/>
      <c r="P95" s="168"/>
      <c r="Q95" s="168"/>
      <c r="R95" s="3"/>
      <c r="S95" s="3"/>
      <c r="T95" s="3"/>
      <c r="U95" s="3"/>
      <c r="V95" s="3"/>
      <c r="W95" s="3"/>
      <c r="X95" s="3"/>
      <c r="Y95" s="3"/>
      <c r="Z95" s="3"/>
      <c r="AA95" s="168"/>
      <c r="AB95" s="168"/>
      <c r="AC95" s="168"/>
      <c r="AD95" s="168"/>
      <c r="AE95" s="168"/>
      <c r="AF95" s="168"/>
      <c r="AG95" s="168"/>
      <c r="AH95" s="168"/>
      <c r="AI95" s="168"/>
      <c r="AJ95" s="168"/>
      <c r="AK95" s="163"/>
      <c r="AL95" s="3"/>
    </row>
    <row r="96" spans="1:38" ht="13.5" customHeight="1">
      <c r="A96" s="3"/>
      <c r="B96" s="3"/>
      <c r="C96" s="3"/>
      <c r="D96" s="3"/>
      <c r="E96" s="3"/>
      <c r="F96" s="3"/>
      <c r="G96" s="168"/>
      <c r="H96" s="168"/>
      <c r="I96" s="168"/>
      <c r="J96" s="168"/>
      <c r="K96" s="168"/>
      <c r="L96" s="168"/>
      <c r="M96" s="168"/>
      <c r="N96" s="168"/>
      <c r="O96" s="168"/>
      <c r="P96" s="168"/>
      <c r="Q96" s="168"/>
      <c r="R96" s="3"/>
      <c r="S96" s="3"/>
      <c r="T96" s="3"/>
      <c r="U96" s="3"/>
      <c r="V96" s="3"/>
      <c r="W96" s="3"/>
      <c r="X96" s="3"/>
      <c r="Y96" s="3"/>
      <c r="Z96" s="3"/>
      <c r="AA96" s="168"/>
      <c r="AB96" s="168"/>
      <c r="AC96" s="168"/>
      <c r="AD96" s="168"/>
      <c r="AE96" s="168"/>
      <c r="AF96" s="168"/>
      <c r="AG96" s="168"/>
      <c r="AH96" s="168"/>
      <c r="AI96" s="168"/>
      <c r="AJ96" s="168"/>
      <c r="AK96" s="163"/>
      <c r="AL96" s="3"/>
    </row>
    <row r="97" spans="1:38" ht="33" customHeight="1">
      <c r="A97" s="3"/>
      <c r="B97" s="3"/>
      <c r="C97" s="3"/>
      <c r="D97" s="3"/>
      <c r="E97" s="3"/>
      <c r="F97" s="3"/>
      <c r="G97" s="168"/>
      <c r="H97" s="168"/>
      <c r="I97" s="168"/>
      <c r="J97" s="168"/>
      <c r="K97" s="250">
        <f>COUNTIF(B29:Y90,"J")</f>
        <v>0</v>
      </c>
      <c r="L97" s="250"/>
      <c r="M97" s="250"/>
      <c r="N97" s="172" t="s">
        <v>68</v>
      </c>
      <c r="O97" s="168"/>
      <c r="P97" s="168"/>
      <c r="Q97" s="168"/>
      <c r="R97" s="3"/>
      <c r="S97" s="3"/>
      <c r="T97" s="3"/>
      <c r="U97" s="3"/>
      <c r="V97" s="3"/>
      <c r="W97" s="3"/>
      <c r="X97" s="3"/>
      <c r="Y97" s="3"/>
      <c r="Z97" s="3"/>
      <c r="AA97" s="168"/>
      <c r="AB97" s="168"/>
      <c r="AC97" s="168"/>
      <c r="AD97" s="168"/>
      <c r="AE97" s="168"/>
      <c r="AF97" s="168"/>
      <c r="AG97" s="168"/>
      <c r="AH97" s="168"/>
      <c r="AI97" s="168"/>
      <c r="AJ97" s="168"/>
      <c r="AK97" s="163"/>
      <c r="AL97" s="3"/>
    </row>
    <row r="98" spans="1:38" ht="33.75" customHeight="1">
      <c r="A98" s="3"/>
      <c r="B98" s="3"/>
      <c r="C98" s="3"/>
      <c r="D98" s="3"/>
      <c r="E98" s="3"/>
      <c r="F98" s="3"/>
      <c r="G98" s="168"/>
      <c r="H98" s="168"/>
      <c r="I98" s="168"/>
      <c r="J98" s="168"/>
      <c r="K98" s="251" t="str">
        <f>IF(K97=20,"Μπράβο!!!","")</f>
        <v/>
      </c>
      <c r="L98" s="251"/>
      <c r="M98" s="251"/>
      <c r="N98" s="251"/>
      <c r="O98" s="251"/>
      <c r="P98" s="251"/>
      <c r="Q98" s="251"/>
      <c r="R98" s="251"/>
      <c r="S98" s="251"/>
      <c r="T98" s="251"/>
      <c r="U98" s="3"/>
      <c r="V98" s="3"/>
      <c r="W98" s="3"/>
      <c r="X98" s="3"/>
      <c r="Y98" s="3"/>
      <c r="Z98" s="3"/>
      <c r="AA98" s="168"/>
      <c r="AB98" s="168"/>
      <c r="AC98" s="168"/>
      <c r="AD98" s="168"/>
      <c r="AE98" s="168"/>
      <c r="AF98" s="168"/>
      <c r="AG98" s="168"/>
      <c r="AH98" s="168"/>
      <c r="AI98" s="168"/>
      <c r="AJ98" s="168"/>
      <c r="AK98" s="163"/>
      <c r="AL98" s="3"/>
    </row>
    <row r="99" spans="1:38" ht="38.25" customHeight="1">
      <c r="A99" s="3"/>
      <c r="B99" s="3"/>
      <c r="C99" s="3"/>
      <c r="D99" s="3"/>
      <c r="E99" s="3"/>
      <c r="F99" s="3"/>
      <c r="G99" s="168"/>
      <c r="H99" s="168"/>
      <c r="I99" s="168"/>
      <c r="J99" s="168"/>
      <c r="K99" s="168"/>
      <c r="L99" s="168"/>
      <c r="M99" s="168"/>
      <c r="N99" s="168"/>
      <c r="O99" s="168"/>
      <c r="P99" s="168"/>
      <c r="Q99" s="168"/>
      <c r="R99" s="3"/>
      <c r="S99" s="3"/>
      <c r="T99" s="3"/>
      <c r="U99" s="3"/>
      <c r="V99" s="3"/>
      <c r="W99" s="3"/>
      <c r="X99" s="3"/>
      <c r="Y99" s="3"/>
      <c r="Z99" s="3"/>
      <c r="AA99" s="168"/>
      <c r="AB99" s="168"/>
      <c r="AC99" s="168"/>
      <c r="AD99" s="168"/>
      <c r="AE99" s="168"/>
      <c r="AF99" s="168"/>
      <c r="AG99" s="168"/>
      <c r="AH99" s="168"/>
      <c r="AI99" s="168"/>
      <c r="AJ99" s="168"/>
      <c r="AK99" s="163"/>
      <c r="AL99" s="3"/>
    </row>
    <row r="100" spans="1:38" ht="22.5" customHeight="1">
      <c r="A100" s="3"/>
      <c r="B100" s="3"/>
      <c r="C100" s="3"/>
      <c r="D100" s="249" t="s">
        <v>69</v>
      </c>
      <c r="E100" s="249"/>
      <c r="F100" s="249"/>
      <c r="G100" s="249"/>
      <c r="H100" s="249"/>
      <c r="I100" s="249"/>
      <c r="J100" s="249"/>
      <c r="K100" s="249"/>
      <c r="L100" s="249"/>
      <c r="M100" s="249"/>
      <c r="N100" s="249"/>
      <c r="O100" s="249"/>
      <c r="P100" s="249"/>
      <c r="Q100" s="249"/>
      <c r="R100" s="249"/>
      <c r="S100" s="249"/>
      <c r="T100" s="249"/>
      <c r="U100" s="249"/>
      <c r="V100" s="249"/>
      <c r="W100" s="249"/>
      <c r="X100" s="249"/>
      <c r="Y100" s="249"/>
      <c r="Z100" s="249"/>
      <c r="AA100" s="249"/>
      <c r="AB100" s="3"/>
      <c r="AC100" s="3"/>
      <c r="AD100" s="3"/>
      <c r="AE100" s="3"/>
      <c r="AF100" s="3"/>
      <c r="AG100" s="3"/>
      <c r="AH100" s="3"/>
      <c r="AI100" s="3"/>
      <c r="AJ100" s="163"/>
      <c r="AK100" s="163"/>
      <c r="AL100" s="3"/>
    </row>
    <row r="101" spans="1:38" s="99" customFormat="1" ht="22.5" customHeight="1">
      <c r="A101" s="148"/>
      <c r="B101" s="20"/>
      <c r="C101" s="20"/>
      <c r="D101" s="249"/>
      <c r="E101" s="249"/>
      <c r="F101" s="249"/>
      <c r="G101" s="249"/>
      <c r="H101" s="249"/>
      <c r="I101" s="249"/>
      <c r="J101" s="249"/>
      <c r="K101" s="249"/>
      <c r="L101" s="249"/>
      <c r="M101" s="249"/>
      <c r="N101" s="249"/>
      <c r="O101" s="249"/>
      <c r="P101" s="249"/>
      <c r="Q101" s="249"/>
      <c r="R101" s="249"/>
      <c r="S101" s="249"/>
      <c r="T101" s="249"/>
      <c r="U101" s="249"/>
      <c r="V101" s="249"/>
      <c r="W101" s="249"/>
      <c r="X101" s="249"/>
      <c r="Y101" s="249"/>
      <c r="Z101" s="249"/>
      <c r="AA101" s="249"/>
      <c r="AB101" s="20"/>
      <c r="AC101" s="20"/>
      <c r="AD101" s="20"/>
      <c r="AE101" s="20"/>
      <c r="AF101" s="20"/>
      <c r="AG101" s="20"/>
      <c r="AH101" s="20"/>
      <c r="AI101" s="20"/>
      <c r="AJ101" s="20"/>
      <c r="AK101" s="20"/>
      <c r="AL101" s="20"/>
    </row>
    <row r="102" spans="1:38" s="99" customFormat="1" ht="22.5" customHeight="1">
      <c r="A102" s="148"/>
      <c r="B102" s="148"/>
      <c r="C102" s="20"/>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0"/>
      <c r="AC102" s="20"/>
      <c r="AD102" s="20"/>
      <c r="AE102" s="20"/>
      <c r="AF102" s="20"/>
      <c r="AG102" s="20"/>
      <c r="AH102" s="20"/>
      <c r="AI102" s="20"/>
      <c r="AJ102" s="20"/>
      <c r="AK102" s="20"/>
      <c r="AL102" s="20"/>
    </row>
    <row r="103" spans="1:38" ht="22.5" customHeight="1">
      <c r="A103" s="3"/>
      <c r="B103" s="155"/>
      <c r="C103" s="3"/>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3"/>
      <c r="AC103" s="3"/>
      <c r="AD103" s="3"/>
      <c r="AE103" s="3"/>
      <c r="AF103" s="3"/>
      <c r="AG103" s="3"/>
      <c r="AH103" s="3"/>
      <c r="AI103" s="3"/>
      <c r="AJ103" s="3"/>
      <c r="AK103" s="3"/>
      <c r="AL103" s="3"/>
    </row>
    <row r="104" spans="1:38" ht="38.25" customHeight="1">
      <c r="A104" s="3"/>
      <c r="B104" s="156"/>
      <c r="C104" s="3"/>
      <c r="D104" s="173"/>
      <c r="E104" s="162"/>
      <c r="F104" s="162"/>
      <c r="G104" s="162"/>
      <c r="H104" s="162"/>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row>
    <row r="105" spans="1:38" ht="38.25" customHeight="1">
      <c r="A105" s="3"/>
      <c r="B105" s="157"/>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row>
    <row r="106" spans="1:38" ht="38.25" customHeight="1">
      <c r="A106" s="3"/>
      <c r="B106" s="157"/>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row>
    <row r="107" spans="1:38" ht="38.25" customHeight="1">
      <c r="A107" s="3"/>
      <c r="B107" s="157"/>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row>
    <row r="108" spans="1:38" ht="38.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row>
    <row r="109" spans="1:3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row>
    <row r="110" spans="1:3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row>
    <row r="111" spans="1:3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row>
    <row r="112" spans="1:3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row>
    <row r="113" spans="1:3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row>
    <row r="114" spans="1:3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row>
    <row r="115" spans="1:3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row>
    <row r="116" spans="1:3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row>
    <row r="117" spans="1:38">
      <c r="A117" s="3"/>
      <c r="B117" s="157"/>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row>
    <row r="118" spans="1:38">
      <c r="A118" s="3"/>
      <c r="B118" s="157"/>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row>
    <row r="119" spans="1:38">
      <c r="A119" s="3"/>
      <c r="B119" s="157"/>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row>
    <row r="120" spans="1:38">
      <c r="A120" s="3"/>
      <c r="B120" s="157"/>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row>
    <row r="121" spans="1:38">
      <c r="A121" s="3"/>
      <c r="B121" s="157"/>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row>
    <row r="122" spans="1:38">
      <c r="A122" s="3"/>
      <c r="B122" s="157"/>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row>
    <row r="123" spans="1:38">
      <c r="A123" s="3"/>
      <c r="B123" s="157"/>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row>
    <row r="124" spans="1:38">
      <c r="A124" s="3"/>
      <c r="B124" s="157"/>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row>
    <row r="125" spans="1:38">
      <c r="A125" s="3"/>
      <c r="B125" s="157"/>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row>
  </sheetData>
  <sheetProtection password="C613" sheet="1" objects="1" scenarios="1"/>
  <mergeCells count="67">
    <mergeCell ref="D100:AA103"/>
    <mergeCell ref="B89:B90"/>
    <mergeCell ref="D89:E90"/>
    <mergeCell ref="K97:M97"/>
    <mergeCell ref="K98:T98"/>
    <mergeCell ref="B77:B78"/>
    <mergeCell ref="D77:E78"/>
    <mergeCell ref="A74:A75"/>
    <mergeCell ref="B85:B86"/>
    <mergeCell ref="C85:C88"/>
    <mergeCell ref="D85:E88"/>
    <mergeCell ref="A86:A87"/>
    <mergeCell ref="B87:B88"/>
    <mergeCell ref="B73:B74"/>
    <mergeCell ref="C73:C76"/>
    <mergeCell ref="D73:E76"/>
    <mergeCell ref="B75:B76"/>
    <mergeCell ref="B65:B66"/>
    <mergeCell ref="D65:E66"/>
    <mergeCell ref="B63:B64"/>
    <mergeCell ref="B61:B62"/>
    <mergeCell ref="B53:B54"/>
    <mergeCell ref="D53:E54"/>
    <mergeCell ref="W65:Y66"/>
    <mergeCell ref="S65:U66"/>
    <mergeCell ref="V61:V64"/>
    <mergeCell ref="W61:Y64"/>
    <mergeCell ref="S61:U62"/>
    <mergeCell ref="S63:U64"/>
    <mergeCell ref="W53:Y54"/>
    <mergeCell ref="S53:U54"/>
    <mergeCell ref="V49:V52"/>
    <mergeCell ref="W49:Y52"/>
    <mergeCell ref="C61:C64"/>
    <mergeCell ref="D61:E64"/>
    <mergeCell ref="W41:Y42"/>
    <mergeCell ref="S41:U42"/>
    <mergeCell ref="B51:B52"/>
    <mergeCell ref="S49:U50"/>
    <mergeCell ref="S51:U52"/>
    <mergeCell ref="B49:B50"/>
    <mergeCell ref="C49:C52"/>
    <mergeCell ref="D49:E52"/>
    <mergeCell ref="B41:B42"/>
    <mergeCell ref="D41:E42"/>
    <mergeCell ref="V37:V40"/>
    <mergeCell ref="W37:Y40"/>
    <mergeCell ref="B39:B40"/>
    <mergeCell ref="B37:B38"/>
    <mergeCell ref="C37:C40"/>
    <mergeCell ref="D37:E40"/>
    <mergeCell ref="S37:U38"/>
    <mergeCell ref="S39:U40"/>
    <mergeCell ref="C7:C8"/>
    <mergeCell ref="D7:E8"/>
    <mergeCell ref="D25:E28"/>
    <mergeCell ref="W25:Y28"/>
    <mergeCell ref="B29:B30"/>
    <mergeCell ref="D29:E30"/>
    <mergeCell ref="V25:V28"/>
    <mergeCell ref="S25:U26"/>
    <mergeCell ref="B25:B26"/>
    <mergeCell ref="B27:B28"/>
    <mergeCell ref="C25:C28"/>
    <mergeCell ref="W29:Y30"/>
    <mergeCell ref="S27:U28"/>
    <mergeCell ref="S29:U30"/>
  </mergeCells>
  <phoneticPr fontId="0" type="noConversion"/>
  <conditionalFormatting sqref="F9:O18 Q9:Z18 AB9:AK18 G25:P34 AA25:AJ34 G37:P46 AA37:AJ46 G49:P59 AA49:AJ59 G61:P71 AA61:AA72 R73:AA82 G73:Q83 AA83 G85:AJ94 AB61:AJ83 G99:Q99 N95:Q97 G95:M98 AA95:AJ99">
    <cfRule type="cellIs" dxfId="12" priority="1" stopIfTrue="1" operator="equal">
      <formula>"J"</formula>
    </cfRule>
  </conditionalFormatting>
  <conditionalFormatting sqref="B8">
    <cfRule type="cellIs" dxfId="11" priority="2" stopIfTrue="1" operator="greaterThan">
      <formula>3</formula>
    </cfRule>
  </conditionalFormatting>
  <hyperlinks>
    <hyperlink ref="H100:Y102" location="'Μετατροπή κλασμ. σε δεκαδικούς'!A1" display="Εξάσκηση"/>
    <hyperlink ref="D100:AA103" location="'Μετατροπή κλασμ. σε δεκαδικούς'!A1" display="Εξάσκηση"/>
  </hyperlinks>
  <pageMargins left="0.75" right="0.75" top="1" bottom="1" header="0.5" footer="0.5"/>
  <pageSetup paperSize="9" orientation="portrait" horizontalDpi="0"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dimension ref="A1:AV299"/>
  <sheetViews>
    <sheetView workbookViewId="0"/>
  </sheetViews>
  <sheetFormatPr defaultRowHeight="19.5"/>
  <cols>
    <col min="1" max="1" width="5.375" style="29" customWidth="1"/>
    <col min="2" max="2" width="5.25" style="29" customWidth="1"/>
    <col min="3" max="3" width="4.625" style="29" customWidth="1"/>
    <col min="4" max="4" width="7.125" style="29" customWidth="1"/>
    <col min="5" max="5" width="4.375" style="29" customWidth="1"/>
    <col min="6" max="6" width="8.75" style="29" customWidth="1"/>
    <col min="7" max="7" width="3.375" style="29" customWidth="1"/>
    <col min="8" max="8" width="6.375" style="29" customWidth="1"/>
    <col min="9" max="9" width="3" style="29" customWidth="1"/>
    <col min="10" max="13" width="3.375" style="29" customWidth="1"/>
    <col min="14" max="14" width="1.75" style="29" customWidth="1"/>
    <col min="15" max="15" width="3.875" style="29" customWidth="1"/>
    <col min="16" max="16" width="1.5" style="29" customWidth="1"/>
    <col min="17" max="20" width="3.375" style="29" customWidth="1"/>
    <col min="21" max="21" width="9" style="29"/>
    <col min="22" max="22" width="9.5" style="29" bestFit="1" customWidth="1"/>
    <col min="23" max="16384" width="9" style="29"/>
  </cols>
  <sheetData>
    <row r="1" spans="1:48" ht="57.7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row>
    <row r="2" spans="1:48" ht="22.5">
      <c r="A2" s="23" t="s">
        <v>112</v>
      </c>
    </row>
    <row r="3" spans="1:48" ht="22.5">
      <c r="A3" s="23" t="s">
        <v>78</v>
      </c>
    </row>
    <row r="4" spans="1:48" ht="22.5">
      <c r="A4" s="23" t="s">
        <v>79</v>
      </c>
    </row>
    <row r="5" spans="1:48" ht="22.5">
      <c r="A5" s="23" t="s">
        <v>113</v>
      </c>
    </row>
    <row r="6" spans="1:48" ht="22.5">
      <c r="A6" s="23" t="s">
        <v>114</v>
      </c>
    </row>
    <row r="7" spans="1:48" ht="22.5">
      <c r="A7" s="34" t="s">
        <v>70</v>
      </c>
      <c r="G7" s="12"/>
      <c r="H7" s="12"/>
    </row>
    <row r="8" spans="1:48" ht="20.25" customHeight="1" thickBot="1">
      <c r="B8" s="30">
        <v>1</v>
      </c>
      <c r="D8" s="70">
        <v>50</v>
      </c>
      <c r="E8" s="12"/>
      <c r="F8" s="230">
        <v>50</v>
      </c>
      <c r="G8" s="254" t="str">
        <f>IF(H8="J","%","")</f>
        <v>%</v>
      </c>
      <c r="H8" s="17" t="str">
        <f>IF(F8="","",IF(F8/100=B8/B9,"J","L"))</f>
        <v>J</v>
      </c>
      <c r="I8" s="17"/>
      <c r="K8" s="93">
        <v>1</v>
      </c>
      <c r="L8" s="13"/>
      <c r="M8" s="252"/>
      <c r="N8" s="252"/>
      <c r="O8" s="252"/>
      <c r="P8" s="13"/>
      <c r="Q8" s="29">
        <f>K8*100/K9</f>
        <v>20</v>
      </c>
      <c r="V8" s="288">
        <f>K8/K9*100</f>
        <v>20</v>
      </c>
      <c r="W8" s="29" t="s">
        <v>102</v>
      </c>
    </row>
    <row r="9" spans="1:48" ht="20.25" customHeight="1" thickTop="1">
      <c r="B9" s="31">
        <v>2</v>
      </c>
      <c r="D9" s="71">
        <v>100</v>
      </c>
      <c r="E9" s="12"/>
      <c r="F9" s="230"/>
      <c r="G9" s="254"/>
      <c r="H9" s="12"/>
      <c r="I9" s="12"/>
      <c r="K9" s="94">
        <v>5</v>
      </c>
      <c r="L9" s="13"/>
      <c r="M9" s="252"/>
      <c r="N9" s="252"/>
      <c r="O9" s="252"/>
      <c r="P9" s="13"/>
      <c r="Q9" s="29">
        <f>100-Q8</f>
        <v>80</v>
      </c>
    </row>
    <row r="10" spans="1:48" ht="22.5">
      <c r="D10" s="19" t="str">
        <f>IF(D9="","",IF(D8="","",IF(D8/D9=B8/B9,"J","L")))</f>
        <v>J</v>
      </c>
      <c r="E10" s="12"/>
      <c r="F10" s="12"/>
      <c r="G10" s="12"/>
      <c r="H10" s="12"/>
      <c r="I10" s="12"/>
      <c r="K10" s="13"/>
      <c r="L10" s="13"/>
      <c r="M10" s="13"/>
      <c r="N10" s="13"/>
      <c r="O10" s="13"/>
      <c r="P10" s="13"/>
      <c r="Q10" s="13" t="str">
        <f>IF(K8/K9&gt;1,"που έγραψες.","")</f>
        <v/>
      </c>
      <c r="R10" s="13"/>
    </row>
    <row r="11" spans="1:48" ht="22.5">
      <c r="D11" s="12"/>
      <c r="E11" s="12"/>
      <c r="F11" s="12"/>
      <c r="G11" s="12"/>
      <c r="H11" s="12"/>
      <c r="I11" s="12"/>
      <c r="K11" s="13"/>
      <c r="L11" s="13"/>
      <c r="M11" s="13"/>
      <c r="N11" s="13"/>
      <c r="O11" s="13"/>
      <c r="P11" s="13"/>
      <c r="Q11" s="13" t="str">
        <f>IF(K8/K9&gt;1,"Γράψε αριθμητή μικρότερο","")</f>
        <v/>
      </c>
      <c r="R11" s="13"/>
    </row>
    <row r="12" spans="1:48" ht="20.25" customHeight="1" thickBot="1">
      <c r="B12" s="30">
        <v>1</v>
      </c>
      <c r="D12" s="70">
        <v>25</v>
      </c>
      <c r="E12" s="12"/>
      <c r="F12" s="230">
        <v>25</v>
      </c>
      <c r="G12" s="254" t="str">
        <f>IF(H12="J","%","")</f>
        <v>%</v>
      </c>
      <c r="H12" s="17" t="str">
        <f>IF(F12="","",IF(F12/100=B12/B13,"J","L"))</f>
        <v>J</v>
      </c>
      <c r="I12" s="17"/>
      <c r="K12" s="13"/>
      <c r="L12" s="13"/>
      <c r="M12" s="13"/>
      <c r="N12" s="13"/>
      <c r="O12" s="13"/>
      <c r="P12" s="13"/>
      <c r="Q12" s="13" t="str">
        <f>IF(K8/K9&gt;1,"από τον παρονομαστή","")</f>
        <v/>
      </c>
      <c r="R12" s="13"/>
    </row>
    <row r="13" spans="1:48" ht="20.25" customHeight="1" thickTop="1">
      <c r="B13" s="31">
        <v>4</v>
      </c>
      <c r="D13" s="71">
        <v>100</v>
      </c>
      <c r="E13" s="12"/>
      <c r="F13" s="230"/>
      <c r="G13" s="254"/>
      <c r="H13" s="12"/>
      <c r="I13" s="12"/>
      <c r="K13" s="13"/>
      <c r="L13" s="13"/>
      <c r="M13" s="13"/>
      <c r="N13" s="13"/>
      <c r="O13" s="13"/>
      <c r="P13" s="13"/>
      <c r="Q13" s="13"/>
      <c r="R13" s="13"/>
    </row>
    <row r="14" spans="1:48" ht="22.5">
      <c r="D14" s="19" t="str">
        <f>IF(D13="","",IF(D12="","",IF(D12/D13=B12/B13,"J","L")))</f>
        <v>J</v>
      </c>
      <c r="E14" s="12"/>
      <c r="F14" s="12"/>
      <c r="G14" s="12"/>
      <c r="H14" s="12"/>
      <c r="I14" s="12"/>
      <c r="K14" s="13"/>
      <c r="L14" s="13"/>
      <c r="M14" s="13"/>
      <c r="N14" s="13"/>
      <c r="O14" s="13"/>
      <c r="P14" s="13"/>
      <c r="Q14" s="13"/>
      <c r="R14" s="13"/>
    </row>
    <row r="15" spans="1:48" ht="22.5">
      <c r="D15" s="12"/>
      <c r="E15" s="12"/>
      <c r="F15" s="12"/>
      <c r="G15" s="12"/>
      <c r="H15" s="12"/>
      <c r="I15" s="12"/>
      <c r="K15" s="13"/>
      <c r="L15" s="13" t="s">
        <v>153</v>
      </c>
      <c r="M15" s="13"/>
      <c r="N15" s="13"/>
      <c r="O15" s="13"/>
      <c r="P15" s="13"/>
      <c r="Q15" s="13"/>
      <c r="R15" s="13"/>
    </row>
    <row r="16" spans="1:48" ht="20.25" customHeight="1" thickBot="1">
      <c r="B16" s="30">
        <v>1</v>
      </c>
      <c r="D16" s="70">
        <v>12.5</v>
      </c>
      <c r="E16" s="12"/>
      <c r="F16" s="230">
        <v>12.5</v>
      </c>
      <c r="G16" s="254" t="str">
        <f>IF(H16="J","%","")</f>
        <v>%</v>
      </c>
      <c r="H16" s="17" t="str">
        <f>IF(F16="","",IF(F16/100=B16/B17,"J","L"))</f>
        <v>J</v>
      </c>
      <c r="I16" s="17"/>
      <c r="K16" s="13"/>
      <c r="L16" s="12" t="s">
        <v>156</v>
      </c>
      <c r="M16" s="13"/>
      <c r="N16" s="13"/>
      <c r="O16" s="13"/>
      <c r="P16" s="13"/>
      <c r="Q16" s="13"/>
      <c r="R16" s="13"/>
    </row>
    <row r="17" spans="1:12" ht="20.25" customHeight="1" thickTop="1">
      <c r="B17" s="31">
        <v>8</v>
      </c>
      <c r="D17" s="71">
        <v>100</v>
      </c>
      <c r="E17" s="12"/>
      <c r="F17" s="230"/>
      <c r="G17" s="254"/>
      <c r="H17" s="12"/>
      <c r="I17" s="12"/>
      <c r="L17" s="29" t="s">
        <v>157</v>
      </c>
    </row>
    <row r="18" spans="1:12">
      <c r="D18" s="19" t="str">
        <f>IF(D17="","",IF(D16="","",IF(D16/D17=B16/B17,"J","L")))</f>
        <v>J</v>
      </c>
      <c r="E18" s="12"/>
      <c r="F18" s="12"/>
      <c r="G18" s="12"/>
      <c r="H18" s="12"/>
      <c r="I18" s="12"/>
    </row>
    <row r="20" spans="1:12" ht="22.5">
      <c r="A20" s="34" t="s">
        <v>90</v>
      </c>
    </row>
    <row r="21" spans="1:12">
      <c r="A21" s="29" t="s">
        <v>115</v>
      </c>
    </row>
    <row r="22" spans="1:12">
      <c r="A22" s="29" t="s">
        <v>87</v>
      </c>
    </row>
    <row r="23" spans="1:12">
      <c r="A23" s="29" t="s">
        <v>88</v>
      </c>
    </row>
    <row r="24" spans="1:12">
      <c r="A24" s="29" t="s">
        <v>89</v>
      </c>
    </row>
    <row r="26" spans="1:12" ht="20.25" customHeight="1" thickBot="1">
      <c r="B26" s="30">
        <v>3</v>
      </c>
      <c r="D26" s="54">
        <v>1</v>
      </c>
      <c r="F26" s="15">
        <v>50</v>
      </c>
      <c r="H26" s="230">
        <v>50</v>
      </c>
      <c r="I26" s="254" t="str">
        <f>IF(J26="J","%","")</f>
        <v>%</v>
      </c>
      <c r="J26" s="17" t="str">
        <f>IF(H26="","",IF(H26/100=D26/D27,"J","L"))</f>
        <v>J</v>
      </c>
    </row>
    <row r="27" spans="1:12" ht="20.25" customHeight="1" thickTop="1">
      <c r="B27" s="31">
        <v>6</v>
      </c>
      <c r="D27" s="55">
        <v>2</v>
      </c>
      <c r="F27" s="32">
        <v>100</v>
      </c>
      <c r="H27" s="230"/>
      <c r="I27" s="254"/>
      <c r="J27" s="12"/>
    </row>
    <row r="28" spans="1:12">
      <c r="B28" s="56"/>
      <c r="F28" s="19" t="str">
        <f>IF(F27="","",IF(F26="","",IF(F26/F27=D26/D27,"J","L")))</f>
        <v>J</v>
      </c>
    </row>
    <row r="29" spans="1:12" s="23" customFormat="1" ht="22.5">
      <c r="A29" s="23" t="s">
        <v>81</v>
      </c>
    </row>
    <row r="30" spans="1:12" s="23" customFormat="1" ht="22.5">
      <c r="A30" s="23" t="s">
        <v>116</v>
      </c>
    </row>
    <row r="31" spans="1:12" s="23" customFormat="1" ht="22.5">
      <c r="A31" s="23" t="s">
        <v>82</v>
      </c>
    </row>
    <row r="32" spans="1:12" s="23" customFormat="1" ht="22.5">
      <c r="A32" s="23" t="s">
        <v>117</v>
      </c>
    </row>
    <row r="33" spans="1:24" s="23" customFormat="1" ht="22.5">
      <c r="A33" s="23" t="s">
        <v>118</v>
      </c>
    </row>
    <row r="34" spans="1:24" s="23" customFormat="1" ht="22.5">
      <c r="A34" s="23" t="s">
        <v>84</v>
      </c>
    </row>
    <row r="35" spans="1:24" s="23" customFormat="1" ht="22.5">
      <c r="A35" s="23" t="s">
        <v>85</v>
      </c>
    </row>
    <row r="36" spans="1:24" ht="22.5">
      <c r="A36" s="34" t="s">
        <v>70</v>
      </c>
    </row>
    <row r="37" spans="1:24" s="23" customFormat="1" ht="23.25" customHeight="1" thickBot="1">
      <c r="A37" s="23" t="s">
        <v>54</v>
      </c>
      <c r="B37" s="30">
        <v>1</v>
      </c>
      <c r="C37" s="29"/>
      <c r="D37" s="255">
        <v>0.5</v>
      </c>
      <c r="F37" s="230">
        <v>50</v>
      </c>
      <c r="G37" s="253" t="str">
        <f>IF(H37="J","%","")</f>
        <v>%</v>
      </c>
      <c r="H37" s="17" t="str">
        <f>IF(F37="","",IF(B37/B38=F37/100,"J","L"))</f>
        <v>J</v>
      </c>
      <c r="I37" s="17"/>
      <c r="J37" s="35">
        <v>1</v>
      </c>
      <c r="K37" s="67">
        <v>0</v>
      </c>
      <c r="L37" s="35"/>
      <c r="M37" s="41">
        <v>2</v>
      </c>
      <c r="N37" s="35"/>
      <c r="O37" s="35"/>
      <c r="P37" s="35"/>
    </row>
    <row r="38" spans="1:24" s="23" customFormat="1" ht="23.25" customHeight="1" thickTop="1">
      <c r="B38" s="31">
        <v>2</v>
      </c>
      <c r="C38" s="29"/>
      <c r="D38" s="255"/>
      <c r="F38" s="230"/>
      <c r="G38" s="253"/>
      <c r="H38" s="12"/>
      <c r="I38" s="12"/>
      <c r="J38" s="35"/>
      <c r="K38" s="68">
        <v>0</v>
      </c>
      <c r="L38" s="35"/>
      <c r="M38" s="69">
        <v>0</v>
      </c>
      <c r="N38" s="69" t="s">
        <v>86</v>
      </c>
      <c r="O38" s="69">
        <v>5</v>
      </c>
    </row>
    <row r="39" spans="1:24" s="23" customFormat="1" ht="22.5">
      <c r="J39" s="35"/>
      <c r="L39" s="35"/>
      <c r="M39" s="36"/>
      <c r="N39" s="35"/>
      <c r="O39" s="35"/>
    </row>
    <row r="40" spans="1:24" ht="20.25">
      <c r="H40" s="38"/>
      <c r="I40" s="38"/>
      <c r="J40" s="38"/>
      <c r="K40" s="35"/>
      <c r="L40" s="35"/>
      <c r="M40" s="36"/>
      <c r="N40" s="35"/>
      <c r="O40" s="35"/>
      <c r="P40" s="35"/>
    </row>
    <row r="41" spans="1:24" ht="20.25">
      <c r="H41" s="35"/>
      <c r="I41" s="35"/>
      <c r="J41" s="35"/>
      <c r="K41" s="35"/>
      <c r="L41" s="35"/>
      <c r="M41" s="36"/>
      <c r="O41" s="35"/>
      <c r="P41" s="35"/>
      <c r="Q41" s="26" t="str">
        <f>IF(K38&gt;M37,"L",IF((M38+O38*0.1+P38*0.01+Q38*0.01)*M37=J37,"J","L"))</f>
        <v>J</v>
      </c>
    </row>
    <row r="42" spans="1:24" ht="20.25">
      <c r="H42" s="38"/>
      <c r="I42" s="38"/>
      <c r="J42" s="38"/>
      <c r="K42" s="39"/>
      <c r="L42" s="40"/>
      <c r="M42" s="40"/>
      <c r="N42" s="35"/>
      <c r="O42" s="35"/>
    </row>
    <row r="43" spans="1:24" ht="20.25">
      <c r="H43" s="35"/>
      <c r="I43" s="35"/>
      <c r="J43" s="35"/>
      <c r="K43" s="38"/>
      <c r="L43" s="40"/>
      <c r="M43" s="35"/>
      <c r="N43" s="35"/>
      <c r="O43" s="35"/>
      <c r="P43" s="35"/>
    </row>
    <row r="44" spans="1:24" ht="20.25">
      <c r="A44" s="47"/>
      <c r="B44" s="47"/>
      <c r="C44" s="47"/>
      <c r="D44" s="47"/>
      <c r="E44" s="47"/>
      <c r="F44" s="47"/>
      <c r="G44" s="47"/>
      <c r="H44" s="43"/>
      <c r="I44" s="43"/>
      <c r="J44" s="43"/>
      <c r="K44" s="44"/>
      <c r="L44" s="53"/>
      <c r="M44" s="43"/>
      <c r="N44" s="43"/>
      <c r="O44" s="43"/>
      <c r="P44" s="43"/>
      <c r="Q44" s="47"/>
      <c r="R44" s="47"/>
      <c r="S44" s="47"/>
      <c r="T44" s="47"/>
      <c r="U44" s="47"/>
      <c r="V44" s="47"/>
      <c r="W44" s="47"/>
      <c r="X44" s="47"/>
    </row>
    <row r="45" spans="1:24" ht="20.25">
      <c r="H45" s="35"/>
      <c r="I45" s="35"/>
      <c r="J45" s="35"/>
      <c r="K45" s="38"/>
      <c r="L45" s="40"/>
      <c r="M45" s="35"/>
      <c r="N45" s="35"/>
      <c r="O45" s="35"/>
      <c r="P45" s="35"/>
    </row>
    <row r="46" spans="1:24" s="23" customFormat="1" ht="23.25" thickBot="1">
      <c r="A46" s="23" t="s">
        <v>55</v>
      </c>
      <c r="B46" s="30">
        <v>1</v>
      </c>
      <c r="C46" s="29"/>
      <c r="D46" s="229">
        <f>O47+Q47*0.1+R47*0.01+S47*0.001</f>
        <v>0.33300000000000007</v>
      </c>
      <c r="F46" s="230">
        <v>33.299999999999997</v>
      </c>
      <c r="G46" s="253" t="str">
        <f>IF(H46="J","%","")</f>
        <v>%</v>
      </c>
      <c r="H46" s="17" t="str">
        <f>IF(F46="","",IF(F46=D46*100,"J","L"))</f>
        <v>J</v>
      </c>
      <c r="I46" s="17"/>
      <c r="J46" s="29">
        <v>1</v>
      </c>
      <c r="K46" s="67">
        <v>0</v>
      </c>
      <c r="L46" s="72"/>
      <c r="M46" s="13"/>
      <c r="N46" s="13"/>
      <c r="O46" s="73">
        <v>3</v>
      </c>
      <c r="P46" s="72"/>
      <c r="Q46" s="72"/>
      <c r="R46" s="72"/>
      <c r="S46" s="13"/>
    </row>
    <row r="47" spans="1:24" s="23" customFormat="1" ht="23.25" thickTop="1">
      <c r="B47" s="31">
        <v>3</v>
      </c>
      <c r="C47" s="29"/>
      <c r="D47" s="229"/>
      <c r="E47" s="29"/>
      <c r="F47" s="230"/>
      <c r="G47" s="253"/>
      <c r="J47" s="35"/>
      <c r="K47" s="74">
        <v>1</v>
      </c>
      <c r="L47" s="74">
        <v>0</v>
      </c>
      <c r="M47" s="13"/>
      <c r="N47" s="13"/>
      <c r="O47" s="75">
        <v>0</v>
      </c>
      <c r="P47" s="75" t="s">
        <v>86</v>
      </c>
      <c r="Q47" s="76">
        <v>3</v>
      </c>
      <c r="R47" s="77">
        <v>3</v>
      </c>
      <c r="S47" s="78">
        <v>3</v>
      </c>
    </row>
    <row r="48" spans="1:24" s="23" customFormat="1" ht="22.5">
      <c r="J48" s="35"/>
      <c r="K48" s="72"/>
      <c r="L48" s="79">
        <v>1</v>
      </c>
      <c r="M48" s="79">
        <v>0</v>
      </c>
      <c r="N48" s="13"/>
      <c r="O48" s="80"/>
      <c r="P48" s="72"/>
      <c r="Q48" s="72"/>
      <c r="R48" s="81"/>
      <c r="S48" s="13"/>
    </row>
    <row r="49" spans="1:24" ht="20.25">
      <c r="J49" s="38"/>
      <c r="K49" s="72"/>
      <c r="L49" s="72"/>
      <c r="M49" s="82">
        <v>1</v>
      </c>
      <c r="N49" s="12"/>
      <c r="O49" s="80"/>
      <c r="P49" s="72"/>
      <c r="Q49" s="72"/>
      <c r="R49" s="72"/>
      <c r="S49" s="12"/>
    </row>
    <row r="50" spans="1:24" ht="20.25">
      <c r="J50" s="35"/>
      <c r="K50" s="12"/>
      <c r="L50" s="12"/>
      <c r="M50" s="12"/>
      <c r="N50" s="12"/>
      <c r="O50" s="80"/>
      <c r="P50" s="12"/>
      <c r="Q50" s="72"/>
      <c r="R50" s="72"/>
      <c r="S50" s="26" t="str">
        <f>IF(M49&gt;O46,"L",IF((O47+Q47*0.1+R47*0.01+S47*0.001)*O46+M49*0.001=J46,"J","L"))</f>
        <v>J</v>
      </c>
    </row>
    <row r="51" spans="1:24" ht="87.75" customHeight="1">
      <c r="K51" s="38"/>
      <c r="L51" s="38"/>
      <c r="O51" s="39"/>
      <c r="P51" s="40"/>
      <c r="Q51" s="40"/>
      <c r="R51" s="35"/>
      <c r="S51" s="35"/>
    </row>
    <row r="52" spans="1:24" ht="19.5" customHeight="1">
      <c r="K52" s="38"/>
      <c r="L52" s="38"/>
      <c r="O52" s="39"/>
      <c r="P52" s="40"/>
      <c r="Q52" s="40"/>
      <c r="R52" s="35"/>
      <c r="S52" s="35"/>
    </row>
    <row r="53" spans="1:24" ht="20.25">
      <c r="A53" s="47"/>
      <c r="B53" s="47"/>
      <c r="C53" s="47"/>
      <c r="D53" s="47"/>
      <c r="E53" s="47"/>
      <c r="F53" s="47"/>
      <c r="G53" s="47"/>
      <c r="H53" s="47"/>
      <c r="I53" s="47"/>
      <c r="J53" s="47"/>
      <c r="K53" s="47"/>
      <c r="L53" s="43"/>
      <c r="M53" s="44"/>
      <c r="N53" s="53"/>
      <c r="O53" s="43"/>
      <c r="P53" s="43"/>
      <c r="Q53" s="43"/>
      <c r="R53" s="43"/>
      <c r="S53" s="47"/>
      <c r="T53" s="47"/>
      <c r="U53" s="47"/>
      <c r="V53" s="47"/>
      <c r="W53" s="47"/>
      <c r="X53" s="47"/>
    </row>
    <row r="54" spans="1:24" ht="19.5" customHeight="1">
      <c r="B54" s="12"/>
      <c r="C54" s="12"/>
      <c r="D54" s="12"/>
      <c r="E54" s="12"/>
      <c r="F54" s="12"/>
      <c r="G54" s="12"/>
      <c r="H54" s="12"/>
      <c r="I54" s="12"/>
      <c r="J54" s="12"/>
      <c r="K54" s="83"/>
      <c r="L54" s="83"/>
      <c r="M54" s="12"/>
      <c r="N54" s="12"/>
      <c r="O54" s="84"/>
      <c r="P54" s="85"/>
      <c r="Q54" s="85"/>
      <c r="R54" s="72"/>
      <c r="S54" s="72"/>
      <c r="T54" s="12"/>
    </row>
    <row r="55" spans="1:24" ht="23.25" thickBot="1">
      <c r="A55" s="29" t="s">
        <v>56</v>
      </c>
      <c r="B55" s="14">
        <v>2</v>
      </c>
      <c r="C55" s="12"/>
      <c r="D55" s="229">
        <f>O56+Q56*0.1+R56*0.01+S56*0.001</f>
        <v>0.28500000000000003</v>
      </c>
      <c r="E55" s="23"/>
      <c r="F55" s="230">
        <v>28.5</v>
      </c>
      <c r="G55" s="253" t="str">
        <f>IF(H55="J","%","")</f>
        <v>%</v>
      </c>
      <c r="H55" s="17" t="str">
        <f>IF(F55="","",IF(F55=D55*100,"J","L"))</f>
        <v>J</v>
      </c>
      <c r="I55" s="17"/>
      <c r="J55" s="12">
        <v>2</v>
      </c>
      <c r="K55" s="67">
        <v>0</v>
      </c>
      <c r="L55" s="72"/>
      <c r="M55" s="13"/>
      <c r="N55" s="13"/>
      <c r="O55" s="73">
        <v>7</v>
      </c>
      <c r="P55" s="72"/>
      <c r="Q55" s="72"/>
      <c r="R55" s="72"/>
      <c r="S55" s="13"/>
      <c r="T55" s="12"/>
    </row>
    <row r="56" spans="1:24" ht="23.25" thickTop="1">
      <c r="B56" s="86">
        <v>7</v>
      </c>
      <c r="C56" s="12"/>
      <c r="D56" s="229"/>
      <c r="F56" s="230"/>
      <c r="G56" s="253"/>
      <c r="H56" s="23"/>
      <c r="I56" s="23"/>
      <c r="J56" s="72"/>
      <c r="K56" s="74">
        <v>6</v>
      </c>
      <c r="L56" s="74">
        <v>0</v>
      </c>
      <c r="M56" s="13"/>
      <c r="N56" s="13"/>
      <c r="O56" s="75">
        <v>0</v>
      </c>
      <c r="P56" s="75" t="s">
        <v>86</v>
      </c>
      <c r="Q56" s="76">
        <v>2</v>
      </c>
      <c r="R56" s="77">
        <v>8</v>
      </c>
      <c r="S56" s="78">
        <v>5</v>
      </c>
      <c r="T56" s="12"/>
    </row>
    <row r="57" spans="1:24" ht="22.5">
      <c r="B57" s="12"/>
      <c r="C57" s="12"/>
      <c r="D57" s="12"/>
      <c r="E57" s="12"/>
      <c r="F57" s="12"/>
      <c r="G57" s="12"/>
      <c r="H57" s="12"/>
      <c r="I57" s="12"/>
      <c r="J57" s="72"/>
      <c r="K57" s="72"/>
      <c r="L57" s="79">
        <v>4</v>
      </c>
      <c r="M57" s="79">
        <v>0</v>
      </c>
      <c r="N57" s="13"/>
      <c r="O57" s="80"/>
      <c r="P57" s="72"/>
      <c r="Q57" s="72"/>
      <c r="R57" s="81"/>
      <c r="S57" s="13"/>
      <c r="T57" s="12"/>
    </row>
    <row r="58" spans="1:24" ht="20.25">
      <c r="B58" s="12"/>
      <c r="C58" s="12"/>
      <c r="D58" s="12"/>
      <c r="E58" s="12"/>
      <c r="F58" s="12"/>
      <c r="G58" s="12"/>
      <c r="H58" s="12"/>
      <c r="I58" s="12"/>
      <c r="J58" s="83"/>
      <c r="K58" s="72"/>
      <c r="L58" s="72"/>
      <c r="M58" s="82">
        <v>5</v>
      </c>
      <c r="N58" s="12"/>
      <c r="O58" s="80"/>
      <c r="P58" s="72"/>
      <c r="Q58" s="72"/>
      <c r="R58" s="72"/>
      <c r="S58" s="12"/>
      <c r="T58" s="12"/>
    </row>
    <row r="59" spans="1:24" ht="20.25">
      <c r="B59" s="12"/>
      <c r="C59" s="12"/>
      <c r="D59" s="12"/>
      <c r="E59" s="12"/>
      <c r="F59" s="12"/>
      <c r="G59" s="12"/>
      <c r="H59" s="12"/>
      <c r="I59" s="12"/>
      <c r="J59" s="72"/>
      <c r="K59" s="12"/>
      <c r="L59" s="12"/>
      <c r="M59" s="12"/>
      <c r="N59" s="12"/>
      <c r="O59" s="80"/>
      <c r="P59" s="12"/>
      <c r="Q59" s="72"/>
      <c r="R59" s="72"/>
      <c r="S59" s="26" t="str">
        <f>IF(M58&gt;O55,"L",IF((O56+Q56*0.1+R56*0.01+S56*0.001)*O55+M58*0.001=J55,"J","L"))</f>
        <v>J</v>
      </c>
      <c r="T59" s="12"/>
    </row>
    <row r="60" spans="1:24">
      <c r="B60" s="12"/>
      <c r="C60" s="12"/>
      <c r="D60" s="12"/>
      <c r="E60" s="12"/>
      <c r="F60" s="12"/>
      <c r="G60" s="12"/>
      <c r="H60" s="12"/>
      <c r="I60" s="12"/>
      <c r="J60" s="12"/>
      <c r="K60" s="12"/>
      <c r="L60" s="12"/>
      <c r="M60" s="12"/>
      <c r="N60" s="12"/>
      <c r="O60" s="12"/>
      <c r="P60" s="12"/>
      <c r="Q60" s="12"/>
      <c r="R60" s="12"/>
      <c r="S60" s="12"/>
      <c r="T60" s="12"/>
    </row>
    <row r="65" spans="1:24" ht="20.25">
      <c r="A65" s="47"/>
      <c r="B65" s="47"/>
      <c r="C65" s="47"/>
      <c r="D65" s="47"/>
      <c r="E65" s="47"/>
      <c r="F65" s="47"/>
      <c r="G65" s="47"/>
      <c r="H65" s="43"/>
      <c r="I65" s="43"/>
      <c r="J65" s="43"/>
      <c r="K65" s="44"/>
      <c r="L65" s="53"/>
      <c r="M65" s="43"/>
      <c r="N65" s="43"/>
      <c r="O65" s="43"/>
      <c r="P65" s="43"/>
      <c r="Q65" s="47"/>
      <c r="R65" s="47"/>
      <c r="S65" s="47"/>
      <c r="T65" s="47"/>
      <c r="U65" s="47"/>
      <c r="V65" s="47"/>
      <c r="W65" s="47"/>
      <c r="X65" s="47"/>
    </row>
    <row r="66" spans="1:24" ht="48.75" customHeight="1"/>
    <row r="67" spans="1:24">
      <c r="A67" s="29" t="s">
        <v>119</v>
      </c>
    </row>
    <row r="68" spans="1:24">
      <c r="A68" s="29" t="s">
        <v>120</v>
      </c>
    </row>
    <row r="69" spans="1:24">
      <c r="A69" s="29" t="s">
        <v>93</v>
      </c>
    </row>
    <row r="70" spans="1:24" ht="43.5" customHeight="1"/>
    <row r="71" spans="1:24" ht="20.25" customHeight="1" thickBot="1">
      <c r="A71" s="29" t="s">
        <v>54</v>
      </c>
      <c r="B71" s="30">
        <v>2</v>
      </c>
      <c r="D71" s="15"/>
      <c r="E71" s="12"/>
      <c r="F71" s="225"/>
      <c r="G71" s="254" t="str">
        <f>IF(H71="J","%","")</f>
        <v/>
      </c>
      <c r="H71" s="17" t="str">
        <f>IF(F71="","",IF(F71/100=B71/B72,"J","L"))</f>
        <v/>
      </c>
      <c r="I71" s="17"/>
    </row>
    <row r="72" spans="1:24" ht="24" customHeight="1" thickTop="1" thickBot="1">
      <c r="B72" s="31">
        <v>4</v>
      </c>
      <c r="D72" s="32"/>
      <c r="E72" s="12"/>
      <c r="F72" s="225"/>
      <c r="G72" s="254"/>
      <c r="H72" s="12"/>
      <c r="I72" s="12"/>
      <c r="J72" s="57"/>
      <c r="K72" s="42"/>
      <c r="L72" s="42"/>
      <c r="M72" s="23"/>
      <c r="N72" s="23"/>
      <c r="O72" s="58"/>
      <c r="P72" s="35"/>
      <c r="Q72" s="35"/>
      <c r="R72" s="35"/>
      <c r="S72" s="23"/>
    </row>
    <row r="73" spans="1:24" ht="23.25" thickTop="1">
      <c r="D73" s="19" t="str">
        <f>IF(D72="","",IF(D71="","",IF(D71/D72=B71/B72,"J","L")))</f>
        <v/>
      </c>
      <c r="E73" s="12"/>
      <c r="F73" s="12"/>
      <c r="G73" s="12"/>
      <c r="H73" s="12"/>
      <c r="I73" s="12"/>
      <c r="J73" s="49"/>
      <c r="K73" s="49"/>
      <c r="L73" s="49"/>
      <c r="M73" s="23"/>
      <c r="N73" s="23"/>
      <c r="O73" s="45"/>
      <c r="P73" s="59" t="s">
        <v>86</v>
      </c>
      <c r="Q73" s="46"/>
      <c r="R73" s="48"/>
      <c r="S73" s="52"/>
    </row>
    <row r="74" spans="1:24" ht="22.5">
      <c r="G74" s="12"/>
      <c r="H74" s="12"/>
      <c r="J74" s="35"/>
      <c r="K74" s="35"/>
      <c r="L74" s="50"/>
      <c r="M74" s="50"/>
      <c r="N74" s="23"/>
      <c r="O74" s="36"/>
      <c r="P74" s="35"/>
      <c r="Q74" s="35"/>
      <c r="R74" s="37"/>
      <c r="S74" s="23"/>
    </row>
    <row r="75" spans="1:24" ht="21" customHeight="1" thickBot="1">
      <c r="A75" s="29" t="s">
        <v>55</v>
      </c>
      <c r="B75" s="30">
        <v>3</v>
      </c>
      <c r="D75" s="15"/>
      <c r="E75" s="12"/>
      <c r="F75" s="225"/>
      <c r="G75" s="254" t="str">
        <f>IF(H75="J","%","")</f>
        <v/>
      </c>
      <c r="H75" s="17" t="str">
        <f>IF(F75="","",IF(F75/100=B75/B76,"J","L"))</f>
        <v/>
      </c>
      <c r="I75" s="17"/>
      <c r="J75" s="38"/>
      <c r="K75" s="35"/>
      <c r="L75" s="35"/>
      <c r="M75" s="51"/>
      <c r="O75" s="36"/>
      <c r="P75" s="35"/>
      <c r="Q75" s="35"/>
      <c r="R75" s="35"/>
    </row>
    <row r="76" spans="1:24" ht="21" customHeight="1" thickTop="1">
      <c r="B76" s="31">
        <v>4</v>
      </c>
      <c r="D76" s="32"/>
      <c r="E76" s="12"/>
      <c r="F76" s="225"/>
      <c r="G76" s="254"/>
      <c r="H76" s="12"/>
      <c r="I76" s="12"/>
      <c r="J76" s="35"/>
      <c r="O76" s="36"/>
      <c r="Q76" s="35"/>
      <c r="R76" s="35"/>
      <c r="S76" s="26" t="str">
        <f>IF(M75&gt;O72,"L",IF((O73+Q73*0.1+R73*0.01+S73*0.001)*O72+M75*0.001=J72,"J","L"))</f>
        <v>J</v>
      </c>
    </row>
    <row r="77" spans="1:24">
      <c r="D77" s="19" t="str">
        <f>IF(D76="","",IF(D75="","",IF(D75/D76=B75/B76,"J","L")))</f>
        <v/>
      </c>
      <c r="E77" s="12"/>
      <c r="F77" s="12"/>
      <c r="G77" s="12"/>
      <c r="H77" s="12"/>
      <c r="I77" s="12"/>
    </row>
    <row r="78" spans="1:24">
      <c r="G78" s="12"/>
      <c r="H78" s="12"/>
    </row>
    <row r="79" spans="1:24" ht="20.25" customHeight="1" thickBot="1">
      <c r="A79" s="29" t="s">
        <v>56</v>
      </c>
      <c r="B79" s="30">
        <v>3</v>
      </c>
      <c r="D79" s="15"/>
      <c r="F79" s="225"/>
      <c r="G79" s="254" t="str">
        <f>IF(H79="J","%","")</f>
        <v/>
      </c>
      <c r="H79" s="17" t="str">
        <f>IF(F79="","",IF(F79/100=B79/B80,"J","L"))</f>
        <v/>
      </c>
      <c r="I79" s="17"/>
    </row>
    <row r="80" spans="1:24" ht="20.25" customHeight="1" thickTop="1">
      <c r="B80" s="31">
        <v>8</v>
      </c>
      <c r="D80" s="32"/>
      <c r="F80" s="225"/>
      <c r="G80" s="254"/>
      <c r="H80" s="12"/>
      <c r="I80" s="12"/>
    </row>
    <row r="81" spans="1:19">
      <c r="D81" s="19" t="str">
        <f>IF(D80="","",IF(D79="","",IF(D79/D80=B79/B80,"J","L")))</f>
        <v/>
      </c>
      <c r="G81" s="12"/>
      <c r="H81" s="12"/>
    </row>
    <row r="82" spans="1:19">
      <c r="G82" s="12"/>
      <c r="H82" s="12"/>
    </row>
    <row r="83" spans="1:19" ht="20.25" customHeight="1" thickBot="1">
      <c r="A83" s="29" t="s">
        <v>57</v>
      </c>
      <c r="B83" s="30">
        <v>2</v>
      </c>
      <c r="D83" s="15"/>
      <c r="F83" s="225"/>
      <c r="G83" s="254" t="str">
        <f>IF(H83="J","%","")</f>
        <v/>
      </c>
      <c r="H83" s="17" t="str">
        <f>IF(F83="","",IF(F83/100=B83/B84,"J","L"))</f>
        <v/>
      </c>
      <c r="I83" s="17"/>
    </row>
    <row r="84" spans="1:19" ht="20.25" customHeight="1" thickTop="1">
      <c r="B84" s="31">
        <v>5</v>
      </c>
      <c r="D84" s="32"/>
      <c r="F84" s="225"/>
      <c r="G84" s="254"/>
      <c r="H84" s="12"/>
      <c r="I84" s="12"/>
    </row>
    <row r="85" spans="1:19">
      <c r="D85" s="19" t="str">
        <f>IF(D84="","",IF(D83="","",IF(D83/D84=B83/B84,"J","L")))</f>
        <v/>
      </c>
      <c r="G85" s="12"/>
      <c r="H85" s="12"/>
    </row>
    <row r="86" spans="1:19">
      <c r="G86" s="12"/>
      <c r="H86" s="12"/>
    </row>
    <row r="87" spans="1:19" ht="20.25" customHeight="1" thickBot="1">
      <c r="A87" s="29" t="s">
        <v>58</v>
      </c>
      <c r="B87" s="30">
        <v>3</v>
      </c>
      <c r="D87" s="15"/>
      <c r="F87" s="225"/>
      <c r="G87" s="254" t="str">
        <f>IF(H87="J","%","")</f>
        <v/>
      </c>
      <c r="H87" s="17" t="str">
        <f>IF(F87="","",IF(F87/100=B87/B88,"J","L"))</f>
        <v/>
      </c>
      <c r="I87" s="17"/>
    </row>
    <row r="88" spans="1:19" ht="20.25" customHeight="1" thickTop="1">
      <c r="B88" s="31">
        <v>5</v>
      </c>
      <c r="D88" s="32"/>
      <c r="F88" s="225"/>
      <c r="G88" s="254"/>
      <c r="H88" s="12"/>
      <c r="I88" s="12"/>
    </row>
    <row r="89" spans="1:19">
      <c r="D89" s="19" t="str">
        <f>IF(D88="","",IF(D87="","",IF(D87/D88=B87/B88,"J","L")))</f>
        <v/>
      </c>
      <c r="G89" s="12"/>
      <c r="H89" s="12"/>
    </row>
    <row r="90" spans="1:19" ht="23.25" thickBot="1">
      <c r="D90" s="19"/>
      <c r="G90" s="12"/>
      <c r="H90" s="12"/>
      <c r="J90" s="57"/>
      <c r="K90" s="42"/>
      <c r="L90" s="42"/>
      <c r="M90" s="23"/>
      <c r="N90" s="23"/>
      <c r="O90" s="58"/>
      <c r="P90" s="35"/>
      <c r="Q90" s="35"/>
      <c r="R90" s="35"/>
      <c r="S90" s="23"/>
    </row>
    <row r="91" spans="1:19" ht="24" customHeight="1" thickTop="1" thickBot="1">
      <c r="A91" s="29" t="s">
        <v>60</v>
      </c>
      <c r="B91" s="30">
        <v>5</v>
      </c>
      <c r="D91" s="15"/>
      <c r="F91" s="225"/>
      <c r="G91" s="254" t="str">
        <f>IF(H91="J","%","")</f>
        <v/>
      </c>
      <c r="H91" s="17" t="str">
        <f>IF(F91="","",IF(F91/100=B91/B92,"J","L"))</f>
        <v/>
      </c>
      <c r="I91" s="17"/>
      <c r="J91" s="49"/>
      <c r="K91" s="49"/>
      <c r="L91" s="49"/>
      <c r="M91" s="23"/>
      <c r="N91" s="23"/>
      <c r="O91" s="45"/>
      <c r="P91" s="59" t="s">
        <v>86</v>
      </c>
      <c r="Q91" s="46"/>
      <c r="R91" s="48"/>
      <c r="S91" s="52"/>
    </row>
    <row r="92" spans="1:19" ht="23.25" customHeight="1" thickTop="1">
      <c r="B92" s="31">
        <v>20</v>
      </c>
      <c r="D92" s="32"/>
      <c r="F92" s="225"/>
      <c r="G92" s="254"/>
      <c r="H92" s="12"/>
      <c r="I92" s="12"/>
      <c r="J92" s="35"/>
      <c r="K92" s="35"/>
      <c r="L92" s="50"/>
      <c r="M92" s="50"/>
      <c r="N92" s="23"/>
      <c r="O92" s="36"/>
      <c r="P92" s="35"/>
      <c r="Q92" s="35"/>
      <c r="R92" s="37"/>
      <c r="S92" s="23"/>
    </row>
    <row r="93" spans="1:19" ht="20.25">
      <c r="D93" s="19" t="str">
        <f>IF(D92="","",IF(D91="","",IF(D91/D92=B91/B92,"J","L")))</f>
        <v/>
      </c>
      <c r="G93" s="12"/>
      <c r="H93" s="12"/>
      <c r="J93" s="38"/>
      <c r="K93" s="35"/>
      <c r="L93" s="35"/>
      <c r="M93" s="51"/>
      <c r="O93" s="36"/>
      <c r="P93" s="35"/>
      <c r="Q93" s="35"/>
      <c r="R93" s="35"/>
    </row>
    <row r="94" spans="1:19" ht="20.25">
      <c r="G94" s="12"/>
      <c r="H94" s="12"/>
      <c r="J94" s="35"/>
      <c r="O94" s="36"/>
      <c r="Q94" s="35"/>
      <c r="R94" s="35"/>
      <c r="S94" s="26" t="str">
        <f>IF(M93&gt;O90,"L",IF((O91+Q91*0.1+R91*0.01+S91*0.001)*O90+M93*0.001=J90,"J","L"))</f>
        <v>J</v>
      </c>
    </row>
    <row r="95" spans="1:19" ht="20.25" customHeight="1" thickBot="1">
      <c r="A95" s="29" t="s">
        <v>61</v>
      </c>
      <c r="B95" s="30">
        <v>10</v>
      </c>
      <c r="D95" s="15"/>
      <c r="F95" s="225"/>
      <c r="G95" s="254" t="str">
        <f>IF(H95="J","%","")</f>
        <v/>
      </c>
      <c r="H95" s="17" t="str">
        <f>IF(F95="","",IF(F95/100=B95/B96,"J","L"))</f>
        <v/>
      </c>
      <c r="I95" s="17"/>
    </row>
    <row r="96" spans="1:19" ht="20.25" customHeight="1" thickTop="1">
      <c r="B96" s="31">
        <v>20</v>
      </c>
      <c r="D96" s="32"/>
      <c r="F96" s="225"/>
      <c r="G96" s="254"/>
      <c r="H96" s="12"/>
      <c r="I96" s="12"/>
    </row>
    <row r="97" spans="1:24">
      <c r="D97" s="19" t="str">
        <f>IF(D96="","",IF(D95="","",IF(D95/D96=B95/B96,"J","L")))</f>
        <v/>
      </c>
      <c r="G97" s="12"/>
      <c r="H97" s="12"/>
    </row>
    <row r="98" spans="1:24">
      <c r="G98" s="12"/>
      <c r="H98" s="12"/>
    </row>
    <row r="99" spans="1:24" ht="20.25" customHeight="1" thickBot="1">
      <c r="A99" s="29" t="s">
        <v>62</v>
      </c>
      <c r="B99" s="30">
        <v>3</v>
      </c>
      <c r="D99" s="15"/>
      <c r="F99" s="225"/>
      <c r="G99" s="254" t="str">
        <f>IF(H99="J","%","")</f>
        <v/>
      </c>
      <c r="H99" s="17" t="str">
        <f>IF(F99="","",IF(F99/100=B99/B100,"J","L"))</f>
        <v/>
      </c>
      <c r="I99" s="17"/>
    </row>
    <row r="100" spans="1:24" ht="21" customHeight="1" thickTop="1" thickBot="1">
      <c r="B100" s="31">
        <v>25</v>
      </c>
      <c r="D100" s="32"/>
      <c r="F100" s="225"/>
      <c r="G100" s="254"/>
      <c r="H100" s="12"/>
      <c r="I100" s="12"/>
    </row>
    <row r="101" spans="1:24" ht="30.75" thickTop="1" thickBot="1">
      <c r="D101" s="19" t="str">
        <f>IF(D100="","",IF(D99="","",IF(D99/D100=B99/B100,"J","L")))</f>
        <v/>
      </c>
      <c r="G101" s="12"/>
      <c r="H101" s="12"/>
      <c r="U101" s="87">
        <f>U103*10</f>
        <v>0</v>
      </c>
      <c r="V101" s="64" t="s">
        <v>102</v>
      </c>
    </row>
    <row r="102" spans="1:24" ht="21" thickTop="1" thickBot="1">
      <c r="G102" s="12"/>
      <c r="H102" s="12"/>
    </row>
    <row r="103" spans="1:24" ht="21" customHeight="1" thickTop="1" thickBot="1">
      <c r="A103" s="29" t="s">
        <v>63</v>
      </c>
      <c r="B103" s="30">
        <v>5</v>
      </c>
      <c r="D103" s="15"/>
      <c r="F103" s="225"/>
      <c r="G103" s="254" t="str">
        <f>IF(H103="J","%","")</f>
        <v/>
      </c>
      <c r="H103" s="17" t="str">
        <f>IF(F103="","",IF(F103/100=B103/B104,"J","L"))</f>
        <v/>
      </c>
      <c r="I103" s="17"/>
      <c r="R103" s="29" t="s">
        <v>101</v>
      </c>
      <c r="U103" s="63">
        <f>COUNTIF(H71:H107,"J")</f>
        <v>0</v>
      </c>
    </row>
    <row r="104" spans="1:24" ht="20.25" customHeight="1" thickTop="1">
      <c r="B104" s="31">
        <v>5</v>
      </c>
      <c r="D104" s="32"/>
      <c r="F104" s="225"/>
      <c r="G104" s="254"/>
      <c r="H104" s="12"/>
      <c r="I104" s="12"/>
    </row>
    <row r="105" spans="1:24">
      <c r="D105" s="19" t="str">
        <f>IF(D104="","",IF(D103="","",IF(D103/D104=B103/B104,"J","L")))</f>
        <v/>
      </c>
      <c r="G105" s="12"/>
      <c r="H105" s="12"/>
      <c r="O105" s="29" t="s">
        <v>99</v>
      </c>
    </row>
    <row r="106" spans="1:24">
      <c r="G106" s="12"/>
      <c r="H106" s="12"/>
      <c r="O106" s="29" t="s">
        <v>100</v>
      </c>
    </row>
    <row r="107" spans="1:24" ht="20.25" customHeight="1" thickBot="1">
      <c r="A107" s="29" t="s">
        <v>64</v>
      </c>
      <c r="B107" s="30">
        <v>3</v>
      </c>
      <c r="D107" s="15"/>
      <c r="F107" s="225"/>
      <c r="G107" s="254" t="str">
        <f>IF(H107="J","%","")</f>
        <v/>
      </c>
      <c r="H107" s="17" t="str">
        <f>IF(F107="","",IF(F107/100=B107/B108,"J","L"))</f>
        <v/>
      </c>
      <c r="I107" s="17"/>
    </row>
    <row r="108" spans="1:24" ht="20.25" customHeight="1" thickTop="1">
      <c r="B108" s="31">
        <v>50</v>
      </c>
      <c r="D108" s="32"/>
      <c r="F108" s="225"/>
      <c r="G108" s="254"/>
      <c r="H108" s="12"/>
      <c r="I108" s="12"/>
    </row>
    <row r="109" spans="1:24">
      <c r="D109" s="19" t="str">
        <f>IF(D108="","",IF(D107="","",IF(D107/D108=B107/B108,"J","L")))</f>
        <v/>
      </c>
      <c r="G109" s="12"/>
      <c r="H109" s="12"/>
    </row>
    <row r="110" spans="1:24">
      <c r="D110" s="19"/>
    </row>
    <row r="111" spans="1:24" ht="59.25" customHeight="1">
      <c r="A111" s="47"/>
      <c r="B111" s="47"/>
      <c r="C111" s="47"/>
      <c r="D111" s="47"/>
      <c r="E111" s="47"/>
      <c r="F111" s="47"/>
      <c r="G111" s="47"/>
      <c r="H111" s="43"/>
      <c r="I111" s="43"/>
      <c r="J111" s="43"/>
      <c r="K111" s="44"/>
      <c r="L111" s="53"/>
      <c r="M111" s="43"/>
      <c r="N111" s="43"/>
      <c r="O111" s="43"/>
      <c r="P111" s="43"/>
      <c r="Q111" s="47"/>
      <c r="R111" s="47"/>
      <c r="S111" s="47"/>
      <c r="T111" s="47"/>
      <c r="U111" s="47"/>
      <c r="V111" s="47"/>
      <c r="W111" s="47"/>
      <c r="X111" s="47"/>
    </row>
    <row r="112" spans="1:24">
      <c r="A112" s="29" t="s">
        <v>98</v>
      </c>
      <c r="D112" s="19"/>
    </row>
    <row r="113" spans="1:25">
      <c r="A113" s="29" t="s">
        <v>121</v>
      </c>
      <c r="D113" s="19"/>
    </row>
    <row r="114" spans="1:25">
      <c r="A114" s="29" t="s">
        <v>95</v>
      </c>
      <c r="D114" s="19"/>
    </row>
    <row r="115" spans="1:25">
      <c r="A115" s="29" t="s">
        <v>122</v>
      </c>
      <c r="D115" s="19"/>
    </row>
    <row r="116" spans="1:25">
      <c r="A116" s="29" t="s">
        <v>123</v>
      </c>
      <c r="D116" s="19"/>
    </row>
    <row r="117" spans="1:25">
      <c r="A117" s="29" t="s">
        <v>97</v>
      </c>
      <c r="D117" s="19"/>
    </row>
    <row r="118" spans="1:25" ht="53.25" customHeight="1">
      <c r="D118" s="19"/>
    </row>
    <row r="119" spans="1:25" s="23" customFormat="1" ht="23.25" thickBot="1">
      <c r="A119" s="23" t="s">
        <v>54</v>
      </c>
      <c r="B119" s="30">
        <v>2</v>
      </c>
      <c r="C119" s="29"/>
      <c r="D119" s="229">
        <f>O120+Q120*0.1+R120*0.01+S120*0.001</f>
        <v>0</v>
      </c>
      <c r="F119" s="225"/>
      <c r="G119" s="253" t="str">
        <f>IF(H119="J","%","")</f>
        <v/>
      </c>
      <c r="H119" s="17" t="str">
        <f>IF(F119="","",IF(F119=D119*100,"J","L"))</f>
        <v/>
      </c>
      <c r="I119" s="17"/>
      <c r="J119" s="57"/>
      <c r="K119" s="42"/>
      <c r="O119" s="58"/>
      <c r="P119" s="35"/>
      <c r="Q119" s="35"/>
      <c r="R119" s="35"/>
      <c r="T119" s="29"/>
    </row>
    <row r="120" spans="1:25" s="23" customFormat="1" ht="23.25" thickTop="1">
      <c r="B120" s="31">
        <v>3</v>
      </c>
      <c r="C120" s="29"/>
      <c r="D120" s="229"/>
      <c r="E120" s="29"/>
      <c r="F120" s="225"/>
      <c r="G120" s="253"/>
      <c r="J120" s="35"/>
      <c r="K120" s="49"/>
      <c r="L120" s="49"/>
      <c r="O120" s="45"/>
      <c r="P120" s="59" t="s">
        <v>86</v>
      </c>
      <c r="Q120" s="46"/>
      <c r="R120" s="48"/>
      <c r="S120" s="52"/>
      <c r="T120" s="29"/>
    </row>
    <row r="121" spans="1:25" s="23" customFormat="1" ht="22.5">
      <c r="J121" s="35"/>
      <c r="K121" s="35"/>
      <c r="L121" s="50"/>
      <c r="M121" s="50"/>
      <c r="O121" s="36"/>
      <c r="P121" s="35"/>
      <c r="Q121" s="35"/>
      <c r="R121" s="37"/>
      <c r="T121" s="29"/>
    </row>
    <row r="122" spans="1:25" ht="20.25">
      <c r="J122" s="38"/>
      <c r="K122" s="35"/>
      <c r="L122" s="35"/>
      <c r="M122" s="51"/>
      <c r="O122" s="36"/>
      <c r="P122" s="35"/>
      <c r="Q122" s="35"/>
      <c r="R122" s="35"/>
    </row>
    <row r="123" spans="1:25" ht="20.25">
      <c r="J123" s="35"/>
      <c r="O123" s="36"/>
      <c r="Q123" s="35"/>
      <c r="R123" s="35"/>
      <c r="S123" s="26" t="str">
        <f>IF(J119&lt;B119,"L",IF(J119&gt;B119,"L",IF(O119&lt;B120,"L",IF(O119&gt;B120,"L",IF(M122&gt;O119,"L",IF((O120+Q120*0.1+R120*0.01+S120*0.001)*O119+M122*0.001=J119,"J","L"))))))</f>
        <v>L</v>
      </c>
    </row>
    <row r="124" spans="1:25" ht="20.25">
      <c r="J124" s="29" t="s">
        <v>97</v>
      </c>
      <c r="O124" s="40"/>
      <c r="Q124" s="35"/>
      <c r="R124" s="35"/>
      <c r="S124" s="35"/>
      <c r="T124" s="35"/>
    </row>
    <row r="125" spans="1:25" ht="20.25">
      <c r="A125" s="60"/>
      <c r="B125" s="60"/>
      <c r="C125" s="60"/>
      <c r="D125" s="60"/>
      <c r="E125" s="60"/>
      <c r="F125" s="60"/>
      <c r="G125" s="65" t="s">
        <v>103</v>
      </c>
      <c r="H125" s="60"/>
      <c r="I125" s="60"/>
      <c r="J125" s="60"/>
      <c r="K125" s="60"/>
      <c r="L125" s="60"/>
      <c r="M125" s="60"/>
      <c r="N125" s="60"/>
      <c r="O125" s="62"/>
      <c r="P125" s="60"/>
      <c r="Q125" s="61"/>
      <c r="R125" s="61"/>
      <c r="S125" s="61"/>
      <c r="T125" s="60"/>
      <c r="U125" s="60"/>
      <c r="V125" s="60"/>
      <c r="W125" s="60"/>
      <c r="X125" s="60"/>
      <c r="Y125" s="60"/>
    </row>
    <row r="126" spans="1:25" ht="44.25" customHeight="1">
      <c r="D126" s="19"/>
    </row>
    <row r="127" spans="1:25" s="23" customFormat="1" ht="23.25" customHeight="1" thickBot="1">
      <c r="A127" s="23" t="s">
        <v>55</v>
      </c>
      <c r="B127" s="30">
        <v>3</v>
      </c>
      <c r="C127" s="29"/>
      <c r="D127" s="229">
        <f>O128+Q128*0.1+R128*0.01+S128*0.001</f>
        <v>0</v>
      </c>
      <c r="F127" s="225"/>
      <c r="G127" s="253" t="str">
        <f>IF(H127="J","%","")</f>
        <v/>
      </c>
      <c r="H127" s="17" t="str">
        <f>IF(F127="","",IF(F127=D127*100,"J","L"))</f>
        <v/>
      </c>
      <c r="I127" s="17"/>
      <c r="J127" s="57"/>
      <c r="K127" s="42"/>
      <c r="O127" s="58"/>
      <c r="P127" s="35"/>
      <c r="Q127" s="35"/>
      <c r="R127" s="35"/>
      <c r="T127" s="29"/>
    </row>
    <row r="128" spans="1:25" s="23" customFormat="1" ht="23.25" customHeight="1" thickTop="1">
      <c r="B128" s="31">
        <v>7</v>
      </c>
      <c r="C128" s="29"/>
      <c r="D128" s="229"/>
      <c r="E128" s="29"/>
      <c r="F128" s="225"/>
      <c r="G128" s="253"/>
      <c r="J128" s="35"/>
      <c r="K128" s="49"/>
      <c r="L128" s="49"/>
      <c r="O128" s="45"/>
      <c r="P128" s="59" t="s">
        <v>86</v>
      </c>
      <c r="Q128" s="46"/>
      <c r="R128" s="48"/>
      <c r="S128" s="52"/>
      <c r="T128" s="29"/>
    </row>
    <row r="129" spans="1:25" s="23" customFormat="1" ht="22.5">
      <c r="J129" s="35"/>
      <c r="K129" s="35"/>
      <c r="L129" s="50"/>
      <c r="M129" s="50"/>
      <c r="O129" s="36"/>
      <c r="P129" s="35"/>
      <c r="Q129" s="35"/>
      <c r="R129" s="37"/>
      <c r="T129" s="29"/>
    </row>
    <row r="130" spans="1:25" ht="20.25">
      <c r="J130" s="38"/>
      <c r="K130" s="35"/>
      <c r="L130" s="35"/>
      <c r="M130" s="51">
        <v>4</v>
      </c>
      <c r="O130" s="36"/>
      <c r="P130" s="35"/>
      <c r="Q130" s="35"/>
      <c r="R130" s="35"/>
    </row>
    <row r="131" spans="1:25" ht="20.25">
      <c r="J131" s="35"/>
      <c r="O131" s="36"/>
      <c r="Q131" s="35"/>
      <c r="R131" s="35"/>
      <c r="S131" s="26" t="str">
        <f>IF(J127&lt;B127,"L",IF(J127&gt;B127,"L",IF(O127&lt;B128,"L",IF(O127&gt;B128,"L",IF(M130&gt;O127,"L",IF((O128+Q128*0.1+R128*0.01+S128*0.001)*O127+M130*0.001=J127,"J","L"))))))</f>
        <v>L</v>
      </c>
    </row>
    <row r="132" spans="1:25" ht="20.25">
      <c r="J132" s="29" t="s">
        <v>97</v>
      </c>
      <c r="O132" s="40"/>
      <c r="Q132" s="35"/>
      <c r="R132" s="35"/>
      <c r="S132" s="35"/>
      <c r="T132" s="35"/>
    </row>
    <row r="133" spans="1:25" ht="20.25">
      <c r="A133" s="60"/>
      <c r="B133" s="60"/>
      <c r="C133" s="60"/>
      <c r="D133" s="60"/>
      <c r="E133" s="60"/>
      <c r="F133" s="60"/>
      <c r="G133" s="65" t="s">
        <v>103</v>
      </c>
      <c r="H133" s="60"/>
      <c r="I133" s="60"/>
      <c r="J133" s="60"/>
      <c r="K133" s="60"/>
      <c r="L133" s="60"/>
      <c r="M133" s="60"/>
      <c r="N133" s="60"/>
      <c r="O133" s="62"/>
      <c r="P133" s="60"/>
      <c r="Q133" s="61"/>
      <c r="R133" s="61"/>
      <c r="S133" s="61"/>
      <c r="T133" s="60"/>
      <c r="U133" s="60"/>
      <c r="V133" s="60"/>
      <c r="W133" s="60"/>
      <c r="X133" s="60"/>
      <c r="Y133" s="60"/>
    </row>
    <row r="134" spans="1:25" ht="53.25" customHeight="1">
      <c r="D134" s="19"/>
    </row>
    <row r="135" spans="1:25" s="23" customFormat="1" ht="23.25" thickBot="1">
      <c r="A135" s="23" t="s">
        <v>56</v>
      </c>
      <c r="B135" s="30">
        <v>1</v>
      </c>
      <c r="C135" s="29"/>
      <c r="D135" s="229">
        <f>O136+Q136*0.1+R136*0.01+S136*0.001</f>
        <v>0</v>
      </c>
      <c r="F135" s="225"/>
      <c r="G135" s="253" t="str">
        <f>IF(H135="J","%","")</f>
        <v/>
      </c>
      <c r="H135" s="17" t="str">
        <f>IF(F135="","",IF(F135=D135*100,"J","L"))</f>
        <v/>
      </c>
      <c r="I135" s="17"/>
      <c r="J135" s="57"/>
      <c r="K135" s="42"/>
      <c r="O135" s="58"/>
      <c r="P135" s="35"/>
      <c r="Q135" s="35"/>
      <c r="R135" s="35"/>
      <c r="T135" s="29"/>
    </row>
    <row r="136" spans="1:25" s="23" customFormat="1" ht="23.25" thickTop="1">
      <c r="B136" s="31">
        <v>9</v>
      </c>
      <c r="C136" s="29"/>
      <c r="D136" s="229"/>
      <c r="E136" s="29"/>
      <c r="F136" s="225"/>
      <c r="G136" s="253"/>
      <c r="J136" s="35"/>
      <c r="K136" s="49"/>
      <c r="L136" s="49"/>
      <c r="O136" s="45"/>
      <c r="P136" s="59" t="s">
        <v>86</v>
      </c>
      <c r="Q136" s="46"/>
      <c r="R136" s="48"/>
      <c r="S136" s="52"/>
      <c r="T136" s="29"/>
    </row>
    <row r="137" spans="1:25" s="23" customFormat="1" ht="22.5">
      <c r="J137" s="35"/>
      <c r="K137" s="35"/>
      <c r="L137" s="50"/>
      <c r="M137" s="50"/>
      <c r="O137" s="36"/>
      <c r="P137" s="35"/>
      <c r="Q137" s="35"/>
      <c r="R137" s="37"/>
      <c r="T137" s="29"/>
    </row>
    <row r="138" spans="1:25" ht="20.25">
      <c r="J138" s="38"/>
      <c r="K138" s="35"/>
      <c r="L138" s="35"/>
      <c r="M138" s="51"/>
      <c r="O138" s="36"/>
      <c r="P138" s="35"/>
      <c r="Q138" s="35"/>
      <c r="R138" s="35"/>
    </row>
    <row r="139" spans="1:25" ht="20.25">
      <c r="J139" s="35"/>
      <c r="O139" s="36"/>
      <c r="Q139" s="35"/>
      <c r="R139" s="35"/>
      <c r="S139" s="26" t="str">
        <f>IF(J135&lt;B135,"L",IF(J135&gt;B135,"L",IF(O135&lt;B136,"L",IF(O135&gt;B136,"L",IF(M138&gt;O135,"L",IF((O136+Q136*0.1+R136*0.01+S136*0.001)*O135+M138*0.001=J135,"J","L"))))))</f>
        <v>L</v>
      </c>
    </row>
    <row r="140" spans="1:25" ht="20.25">
      <c r="J140" s="29" t="s">
        <v>97</v>
      </c>
      <c r="O140" s="40"/>
      <c r="Q140" s="35"/>
      <c r="R140" s="35"/>
      <c r="S140" s="35"/>
      <c r="T140" s="35"/>
    </row>
    <row r="141" spans="1:25" ht="20.25">
      <c r="A141" s="60"/>
      <c r="B141" s="60"/>
      <c r="C141" s="60"/>
      <c r="D141" s="60"/>
      <c r="E141" s="60"/>
      <c r="F141" s="60"/>
      <c r="G141" s="65" t="s">
        <v>103</v>
      </c>
      <c r="H141" s="60"/>
      <c r="I141" s="60"/>
      <c r="J141" s="60"/>
      <c r="K141" s="60"/>
      <c r="L141" s="60"/>
      <c r="M141" s="60"/>
      <c r="N141" s="60"/>
      <c r="O141" s="62"/>
      <c r="P141" s="60"/>
      <c r="Q141" s="61"/>
      <c r="R141" s="61"/>
      <c r="S141" s="61"/>
      <c r="T141" s="60"/>
      <c r="U141" s="60"/>
      <c r="V141" s="60"/>
      <c r="W141" s="60"/>
      <c r="X141" s="60"/>
      <c r="Y141" s="60"/>
    </row>
    <row r="142" spans="1:25" ht="51" customHeight="1">
      <c r="D142" s="19"/>
    </row>
    <row r="143" spans="1:25" s="23" customFormat="1" ht="23.25" thickBot="1">
      <c r="A143" s="23" t="s">
        <v>57</v>
      </c>
      <c r="B143" s="30">
        <v>2</v>
      </c>
      <c r="C143" s="29"/>
      <c r="D143" s="229">
        <f>O144+Q144*0.1+R144*0.01+S144*0.001</f>
        <v>0</v>
      </c>
      <c r="F143" s="225"/>
      <c r="G143" s="253" t="str">
        <f>IF(H143="J","%","")</f>
        <v/>
      </c>
      <c r="H143" s="17" t="str">
        <f>IF(F143="","",IF(F143=D143*100,"J","L"))</f>
        <v/>
      </c>
      <c r="I143" s="17"/>
      <c r="J143" s="57"/>
      <c r="K143" s="42"/>
      <c r="O143" s="58"/>
      <c r="P143" s="35"/>
      <c r="Q143" s="35"/>
      <c r="R143" s="35"/>
      <c r="T143" s="29"/>
    </row>
    <row r="144" spans="1:25" s="23" customFormat="1" ht="23.25" thickTop="1">
      <c r="B144" s="31">
        <v>9</v>
      </c>
      <c r="C144" s="29"/>
      <c r="D144" s="229"/>
      <c r="E144" s="29"/>
      <c r="F144" s="225"/>
      <c r="G144" s="253"/>
      <c r="J144" s="35"/>
      <c r="K144" s="49"/>
      <c r="L144" s="49"/>
      <c r="O144" s="45"/>
      <c r="P144" s="59" t="s">
        <v>86</v>
      </c>
      <c r="Q144" s="46"/>
      <c r="R144" s="48"/>
      <c r="S144" s="52"/>
      <c r="T144" s="29"/>
    </row>
    <row r="145" spans="1:25" s="23" customFormat="1" ht="22.5">
      <c r="J145" s="35"/>
      <c r="K145" s="35"/>
      <c r="L145" s="50"/>
      <c r="M145" s="50"/>
      <c r="O145" s="36"/>
      <c r="P145" s="35"/>
      <c r="Q145" s="35"/>
      <c r="R145" s="37"/>
      <c r="T145" s="29"/>
    </row>
    <row r="146" spans="1:25" ht="20.25">
      <c r="J146" s="38"/>
      <c r="K146" s="35"/>
      <c r="L146" s="35"/>
      <c r="M146" s="51"/>
      <c r="O146" s="36"/>
      <c r="P146" s="35"/>
      <c r="Q146" s="35"/>
      <c r="R146" s="35"/>
    </row>
    <row r="147" spans="1:25" ht="20.25">
      <c r="J147" s="35"/>
      <c r="O147" s="36"/>
      <c r="Q147" s="35"/>
      <c r="R147" s="35"/>
      <c r="S147" s="26" t="str">
        <f>IF(J143&lt;B143,"L",IF(J143&gt;B143,"L",IF(O143&lt;B144,"L",IF(O143&gt;B144,"L",IF(M146&gt;O143,"L",IF((O144+Q144*0.1+R144*0.01+S144*0.001)*O143+M146*0.001=J143,"J","L"))))))</f>
        <v>L</v>
      </c>
    </row>
    <row r="148" spans="1:25" ht="20.25">
      <c r="J148" s="29" t="s">
        <v>97</v>
      </c>
      <c r="O148" s="40"/>
      <c r="Q148" s="35"/>
      <c r="R148" s="35"/>
      <c r="S148" s="35"/>
      <c r="T148" s="35"/>
    </row>
    <row r="149" spans="1:25" ht="20.25">
      <c r="A149" s="60"/>
      <c r="B149" s="60"/>
      <c r="C149" s="60"/>
      <c r="D149" s="60"/>
      <c r="E149" s="60"/>
      <c r="F149" s="60"/>
      <c r="G149" s="65" t="s">
        <v>103</v>
      </c>
      <c r="H149" s="60"/>
      <c r="I149" s="60"/>
      <c r="J149" s="60"/>
      <c r="K149" s="60"/>
      <c r="L149" s="60"/>
      <c r="M149" s="60"/>
      <c r="N149" s="60"/>
      <c r="O149" s="62"/>
      <c r="P149" s="60"/>
      <c r="Q149" s="61"/>
      <c r="R149" s="61"/>
      <c r="S149" s="61"/>
      <c r="T149" s="60"/>
      <c r="U149" s="60"/>
      <c r="V149" s="60"/>
      <c r="W149" s="60"/>
      <c r="X149" s="60"/>
      <c r="Y149" s="60"/>
    </row>
    <row r="150" spans="1:25" ht="53.25" customHeight="1">
      <c r="D150" s="19"/>
    </row>
    <row r="151" spans="1:25" s="23" customFormat="1" ht="23.25" thickBot="1">
      <c r="A151" s="23" t="s">
        <v>58</v>
      </c>
      <c r="B151" s="30">
        <v>5</v>
      </c>
      <c r="C151" s="29"/>
      <c r="D151" s="229">
        <f>O152+Q152*0.1+R152*0.01+S152*0.001</f>
        <v>0</v>
      </c>
      <c r="F151" s="225"/>
      <c r="G151" s="253" t="str">
        <f>IF(H151="J","%","")</f>
        <v/>
      </c>
      <c r="H151" s="17" t="str">
        <f>IF(F151="","",IF(F151=D151*100,"J","L"))</f>
        <v/>
      </c>
      <c r="I151" s="17"/>
      <c r="J151" s="57"/>
      <c r="K151" s="42"/>
      <c r="O151" s="58"/>
      <c r="P151" s="35"/>
      <c r="Q151" s="35"/>
      <c r="R151" s="35"/>
      <c r="T151" s="29"/>
    </row>
    <row r="152" spans="1:25" s="23" customFormat="1" ht="23.25" thickTop="1">
      <c r="B152" s="31">
        <v>6</v>
      </c>
      <c r="C152" s="29"/>
      <c r="D152" s="229"/>
      <c r="E152" s="29"/>
      <c r="F152" s="225"/>
      <c r="G152" s="253"/>
      <c r="J152" s="35"/>
      <c r="K152" s="49"/>
      <c r="L152" s="49"/>
      <c r="O152" s="45"/>
      <c r="P152" s="59" t="s">
        <v>86</v>
      </c>
      <c r="Q152" s="46"/>
      <c r="R152" s="48"/>
      <c r="S152" s="52"/>
      <c r="T152" s="29"/>
    </row>
    <row r="153" spans="1:25" s="23" customFormat="1" ht="22.5">
      <c r="J153" s="35"/>
      <c r="K153" s="35"/>
      <c r="L153" s="50"/>
      <c r="M153" s="50"/>
      <c r="O153" s="36"/>
      <c r="P153" s="35"/>
      <c r="Q153" s="35"/>
      <c r="R153" s="37"/>
      <c r="T153" s="29"/>
    </row>
    <row r="154" spans="1:25" ht="20.25">
      <c r="J154" s="38"/>
      <c r="K154" s="35"/>
      <c r="L154" s="35"/>
      <c r="M154" s="51"/>
      <c r="O154" s="36"/>
      <c r="P154" s="35"/>
      <c r="Q154" s="35"/>
      <c r="R154" s="35"/>
    </row>
    <row r="155" spans="1:25" ht="20.25">
      <c r="J155" s="35"/>
      <c r="O155" s="36"/>
      <c r="Q155" s="35"/>
      <c r="R155" s="35"/>
      <c r="S155" s="26" t="str">
        <f>IF(J151&lt;B151,"L",IF(J151&gt;B151,"L",IF(O151&lt;B152,"L",IF(O151&gt;B152,"L",IF(M154&gt;O151,"L",IF((O152+Q152*0.1+R152*0.01+S152*0.001)*O151+M154*0.001=J151,"J","L"))))))</f>
        <v>L</v>
      </c>
    </row>
    <row r="156" spans="1:25" ht="20.25">
      <c r="J156" s="29" t="s">
        <v>97</v>
      </c>
      <c r="O156" s="40"/>
      <c r="Q156" s="35"/>
      <c r="R156" s="35"/>
      <c r="S156" s="35"/>
      <c r="T156" s="35"/>
    </row>
    <row r="157" spans="1:25" ht="20.25">
      <c r="A157" s="60"/>
      <c r="B157" s="60"/>
      <c r="C157" s="60"/>
      <c r="D157" s="60"/>
      <c r="E157" s="60"/>
      <c r="F157" s="60"/>
      <c r="G157" s="65" t="s">
        <v>103</v>
      </c>
      <c r="H157" s="60"/>
      <c r="I157" s="60"/>
      <c r="J157" s="60"/>
      <c r="K157" s="60"/>
      <c r="L157" s="60"/>
      <c r="M157" s="60"/>
      <c r="N157" s="60"/>
      <c r="O157" s="62"/>
      <c r="P157" s="60"/>
      <c r="Q157" s="61"/>
      <c r="R157" s="61"/>
      <c r="S157" s="61"/>
      <c r="T157" s="60"/>
      <c r="U157" s="60"/>
      <c r="V157" s="60"/>
      <c r="W157" s="60"/>
      <c r="X157" s="60"/>
      <c r="Y157" s="60"/>
    </row>
    <row r="158" spans="1:25" ht="51.75" customHeight="1">
      <c r="D158" s="19"/>
    </row>
    <row r="159" spans="1:25" s="23" customFormat="1" ht="23.25" thickBot="1">
      <c r="A159" s="23" t="s">
        <v>60</v>
      </c>
      <c r="B159" s="30">
        <v>2</v>
      </c>
      <c r="C159" s="29"/>
      <c r="D159" s="229">
        <f>O160+Q160*0.1+R160*0.01+S160*0.001</f>
        <v>0</v>
      </c>
      <c r="F159" s="225"/>
      <c r="G159" s="253" t="str">
        <f>IF(H159="J","%","")</f>
        <v/>
      </c>
      <c r="H159" s="17" t="str">
        <f>IF(F159="","",IF(F159=D159*100,"J","L"))</f>
        <v/>
      </c>
      <c r="I159" s="17"/>
      <c r="J159" s="57"/>
      <c r="K159" s="42"/>
      <c r="O159" s="58"/>
      <c r="P159" s="35"/>
      <c r="Q159" s="35"/>
      <c r="R159" s="35"/>
      <c r="T159" s="29"/>
    </row>
    <row r="160" spans="1:25" s="23" customFormat="1" ht="23.25" thickTop="1">
      <c r="B160" s="31">
        <v>11</v>
      </c>
      <c r="C160" s="29"/>
      <c r="D160" s="229"/>
      <c r="E160" s="29"/>
      <c r="F160" s="225"/>
      <c r="G160" s="253"/>
      <c r="J160" s="35"/>
      <c r="K160" s="49"/>
      <c r="L160" s="49"/>
      <c r="O160" s="45"/>
      <c r="P160" s="59" t="s">
        <v>86</v>
      </c>
      <c r="Q160" s="46"/>
      <c r="R160" s="48"/>
      <c r="S160" s="52"/>
      <c r="T160" s="29"/>
    </row>
    <row r="161" spans="1:25" s="23" customFormat="1" ht="22.5">
      <c r="J161" s="35"/>
      <c r="K161" s="35"/>
      <c r="L161" s="50"/>
      <c r="M161" s="50"/>
      <c r="O161" s="36"/>
      <c r="P161" s="35"/>
      <c r="Q161" s="35"/>
      <c r="R161" s="37"/>
      <c r="T161" s="29"/>
    </row>
    <row r="162" spans="1:25" ht="20.25">
      <c r="J162" s="38"/>
      <c r="K162" s="35"/>
      <c r="L162" s="35"/>
      <c r="M162" s="51"/>
      <c r="O162" s="36"/>
      <c r="P162" s="35"/>
      <c r="Q162" s="35"/>
      <c r="R162" s="35"/>
    </row>
    <row r="163" spans="1:25" ht="20.25">
      <c r="J163" s="35"/>
      <c r="O163" s="36"/>
      <c r="Q163" s="35"/>
      <c r="R163" s="35"/>
      <c r="S163" s="26" t="str">
        <f>IF(J159&lt;B159,"L",IF(J159&gt;B159,"L",IF(O159&lt;B160,"L",IF(O159&gt;B160,"L",IF(M162&gt;O159,"L",IF((O160+Q160*0.1+R160*0.01+S160*0.001)*O159+M162*0.001=J159,"J","L"))))))</f>
        <v>L</v>
      </c>
    </row>
    <row r="164" spans="1:25" ht="20.25">
      <c r="J164" s="29" t="s">
        <v>97</v>
      </c>
      <c r="O164" s="40"/>
      <c r="Q164" s="35"/>
      <c r="R164" s="35"/>
      <c r="S164" s="35"/>
      <c r="T164" s="35"/>
    </row>
    <row r="165" spans="1:25" ht="20.25">
      <c r="A165" s="60"/>
      <c r="B165" s="60"/>
      <c r="C165" s="60"/>
      <c r="D165" s="60"/>
      <c r="E165" s="60"/>
      <c r="F165" s="60"/>
      <c r="G165" s="65" t="s">
        <v>103</v>
      </c>
      <c r="H165" s="60"/>
      <c r="I165" s="60"/>
      <c r="J165" s="60"/>
      <c r="K165" s="60"/>
      <c r="L165" s="60"/>
      <c r="M165" s="60"/>
      <c r="N165" s="60"/>
      <c r="O165" s="62"/>
      <c r="P165" s="60"/>
      <c r="Q165" s="61"/>
      <c r="R165" s="61"/>
      <c r="S165" s="61"/>
      <c r="T165" s="60"/>
      <c r="U165" s="60"/>
      <c r="V165" s="60"/>
      <c r="W165" s="60"/>
      <c r="X165" s="60"/>
      <c r="Y165" s="60"/>
    </row>
    <row r="166" spans="1:25" ht="53.25" customHeight="1">
      <c r="D166" s="19"/>
    </row>
    <row r="167" spans="1:25" s="23" customFormat="1" ht="23.25" thickBot="1">
      <c r="A167" s="23" t="s">
        <v>61</v>
      </c>
      <c r="B167" s="30">
        <v>5</v>
      </c>
      <c r="C167" s="29"/>
      <c r="D167" s="229">
        <f>O168+Q168*0.1+R168*0.01+S168*0.001</f>
        <v>0</v>
      </c>
      <c r="F167" s="225"/>
      <c r="G167" s="253" t="str">
        <f>IF(H167="J","%","")</f>
        <v/>
      </c>
      <c r="H167" s="17" t="str">
        <f>IF(F167="","",IF(F167=D167*100,"J","L"))</f>
        <v/>
      </c>
      <c r="I167" s="17"/>
      <c r="J167" s="57"/>
      <c r="K167" s="42"/>
      <c r="O167" s="58"/>
      <c r="P167" s="35"/>
      <c r="Q167" s="35"/>
      <c r="R167" s="35"/>
      <c r="T167" s="29"/>
    </row>
    <row r="168" spans="1:25" s="23" customFormat="1" ht="23.25" thickTop="1">
      <c r="B168" s="31">
        <v>12</v>
      </c>
      <c r="C168" s="29"/>
      <c r="D168" s="229"/>
      <c r="E168" s="29"/>
      <c r="F168" s="225"/>
      <c r="G168" s="253"/>
      <c r="J168" s="35"/>
      <c r="K168" s="49"/>
      <c r="L168" s="49"/>
      <c r="O168" s="45"/>
      <c r="P168" s="59" t="s">
        <v>86</v>
      </c>
      <c r="Q168" s="46"/>
      <c r="R168" s="48"/>
      <c r="S168" s="52"/>
      <c r="T168" s="29"/>
    </row>
    <row r="169" spans="1:25" s="23" customFormat="1" ht="22.5">
      <c r="J169" s="35"/>
      <c r="K169" s="35"/>
      <c r="L169" s="50"/>
      <c r="M169" s="50"/>
      <c r="O169" s="36"/>
      <c r="P169" s="35"/>
      <c r="Q169" s="35"/>
      <c r="R169" s="37"/>
      <c r="T169" s="29"/>
    </row>
    <row r="170" spans="1:25" ht="20.25">
      <c r="J170" s="38"/>
      <c r="K170" s="35"/>
      <c r="L170" s="35"/>
      <c r="M170" s="51"/>
      <c r="O170" s="36"/>
      <c r="P170" s="35"/>
      <c r="Q170" s="35"/>
      <c r="R170" s="35"/>
    </row>
    <row r="171" spans="1:25" ht="20.25">
      <c r="J171" s="35"/>
      <c r="O171" s="36"/>
      <c r="Q171" s="35"/>
      <c r="R171" s="35"/>
      <c r="S171" s="26" t="str">
        <f>IF(J167&lt;B167,"L",IF(J167&gt;B167,"L",IF(O167&lt;B168,"L",IF(O167&gt;B168,"L",IF(M170&gt;O167,"L",IF((O168+Q168*0.1+R168*0.01+S168*0.001)*O167+M170*0.001=J167,"J","L"))))))</f>
        <v>L</v>
      </c>
    </row>
    <row r="172" spans="1:25" ht="20.25">
      <c r="J172" s="29" t="s">
        <v>97</v>
      </c>
      <c r="O172" s="40"/>
      <c r="Q172" s="35"/>
      <c r="R172" s="35"/>
      <c r="S172" s="35"/>
      <c r="T172" s="35"/>
    </row>
    <row r="173" spans="1:25" ht="20.25">
      <c r="A173" s="60"/>
      <c r="B173" s="60"/>
      <c r="C173" s="60"/>
      <c r="D173" s="60"/>
      <c r="E173" s="60"/>
      <c r="F173" s="60"/>
      <c r="G173" s="65" t="s">
        <v>103</v>
      </c>
      <c r="H173" s="60"/>
      <c r="I173" s="60"/>
      <c r="J173" s="60"/>
      <c r="K173" s="60"/>
      <c r="L173" s="60"/>
      <c r="M173" s="60"/>
      <c r="N173" s="60"/>
      <c r="O173" s="62"/>
      <c r="P173" s="60"/>
      <c r="Q173" s="61"/>
      <c r="R173" s="61"/>
      <c r="S173" s="61"/>
      <c r="T173" s="60"/>
      <c r="U173" s="60"/>
      <c r="V173" s="60"/>
      <c r="W173" s="60"/>
      <c r="X173" s="60"/>
      <c r="Y173" s="60"/>
    </row>
    <row r="174" spans="1:25" ht="51" customHeight="1">
      <c r="D174" s="19"/>
    </row>
    <row r="175" spans="1:25" s="23" customFormat="1" ht="23.25" thickBot="1">
      <c r="A175" s="23" t="s">
        <v>62</v>
      </c>
      <c r="B175" s="30">
        <v>2</v>
      </c>
      <c r="C175" s="29"/>
      <c r="D175" s="229">
        <f>O176+Q176*0.1+R176*0.01+S176*0.001</f>
        <v>0</v>
      </c>
      <c r="F175" s="225"/>
      <c r="G175" s="253" t="str">
        <f>IF(H175="J","%","")</f>
        <v/>
      </c>
      <c r="H175" s="17" t="str">
        <f>IF(F175="","",IF(F175=D175*100,"J","L"))</f>
        <v/>
      </c>
      <c r="I175" s="17"/>
      <c r="J175" s="57"/>
      <c r="K175" s="42"/>
      <c r="O175" s="58"/>
      <c r="P175" s="35"/>
      <c r="Q175" s="35"/>
      <c r="R175" s="35"/>
      <c r="T175" s="29"/>
    </row>
    <row r="176" spans="1:25" s="23" customFormat="1" ht="23.25" thickTop="1">
      <c r="B176" s="31">
        <v>13</v>
      </c>
      <c r="C176" s="29"/>
      <c r="D176" s="229"/>
      <c r="E176" s="29"/>
      <c r="F176" s="225"/>
      <c r="G176" s="253"/>
      <c r="J176" s="35"/>
      <c r="K176" s="49"/>
      <c r="L176" s="49"/>
      <c r="O176" s="45"/>
      <c r="P176" s="59" t="s">
        <v>86</v>
      </c>
      <c r="Q176" s="46"/>
      <c r="R176" s="48"/>
      <c r="S176" s="52"/>
      <c r="T176" s="29"/>
    </row>
    <row r="177" spans="1:25" s="23" customFormat="1" ht="22.5">
      <c r="J177" s="35"/>
      <c r="K177" s="35"/>
      <c r="L177" s="50"/>
      <c r="M177" s="50"/>
      <c r="O177" s="36"/>
      <c r="P177" s="35"/>
      <c r="Q177" s="35"/>
      <c r="R177" s="37"/>
      <c r="T177" s="29"/>
    </row>
    <row r="178" spans="1:25" ht="20.25">
      <c r="J178" s="38"/>
      <c r="K178" s="35"/>
      <c r="L178" s="35"/>
      <c r="M178" s="66"/>
      <c r="O178" s="36"/>
      <c r="P178" s="35"/>
      <c r="Q178" s="35"/>
      <c r="R178" s="35"/>
    </row>
    <row r="179" spans="1:25" ht="20.25">
      <c r="J179" s="35"/>
      <c r="O179" s="36"/>
      <c r="Q179" s="35"/>
      <c r="R179" s="35"/>
      <c r="S179" s="26" t="str">
        <f>IF(J175&lt;B175,"L",IF(J175&gt;B175,"L",IF(O175&lt;B176,"L",IF(O175&gt;B176,"L",IF(M178&gt;O175,"L",IF((O176+Q176*0.1+R176*0.01+S176*0.001)*O175+M178*0.001=J175,"J","L"))))))</f>
        <v>L</v>
      </c>
    </row>
    <row r="180" spans="1:25" ht="20.25">
      <c r="J180" s="29" t="s">
        <v>97</v>
      </c>
      <c r="Q180" s="35"/>
      <c r="R180" s="35"/>
      <c r="S180" s="35"/>
      <c r="T180" s="35"/>
    </row>
    <row r="181" spans="1:25" ht="20.25">
      <c r="A181" s="60"/>
      <c r="B181" s="60"/>
      <c r="C181" s="60"/>
      <c r="D181" s="60"/>
      <c r="E181" s="60"/>
      <c r="F181" s="60"/>
      <c r="G181" s="65" t="s">
        <v>103</v>
      </c>
      <c r="H181" s="60"/>
      <c r="I181" s="60"/>
      <c r="J181" s="60"/>
      <c r="K181" s="60"/>
      <c r="L181" s="60"/>
      <c r="M181" s="60"/>
      <c r="N181" s="60"/>
      <c r="O181" s="62"/>
      <c r="P181" s="60"/>
      <c r="Q181" s="61"/>
      <c r="R181" s="61"/>
      <c r="S181" s="61"/>
      <c r="T181" s="60"/>
      <c r="U181" s="60"/>
      <c r="V181" s="60"/>
      <c r="W181" s="60"/>
      <c r="X181" s="60"/>
      <c r="Y181" s="60"/>
    </row>
    <row r="182" spans="1:25" ht="53.25" customHeight="1">
      <c r="D182" s="19"/>
    </row>
    <row r="183" spans="1:25" s="23" customFormat="1" ht="23.25" customHeight="1" thickBot="1">
      <c r="A183" s="23" t="s">
        <v>63</v>
      </c>
      <c r="B183" s="30">
        <v>6</v>
      </c>
      <c r="C183" s="29"/>
      <c r="D183" s="229">
        <f>O184+Q184*0.1+R184*0.01+S184*0.001</f>
        <v>0</v>
      </c>
      <c r="F183" s="225"/>
      <c r="G183" s="253" t="str">
        <f>IF(H183="J","%","")</f>
        <v/>
      </c>
      <c r="H183" s="17" t="str">
        <f>IF(F183="","",IF(F183=D183*100,"J","L"))</f>
        <v/>
      </c>
      <c r="I183" s="17"/>
      <c r="J183" s="57"/>
      <c r="K183" s="42"/>
      <c r="O183" s="58"/>
      <c r="P183" s="35"/>
      <c r="Q183" s="35"/>
      <c r="R183" s="35"/>
      <c r="T183" s="29"/>
    </row>
    <row r="184" spans="1:25" s="23" customFormat="1" ht="23.25" customHeight="1" thickTop="1">
      <c r="B184" s="31">
        <v>7</v>
      </c>
      <c r="C184" s="29"/>
      <c r="D184" s="229"/>
      <c r="E184" s="29"/>
      <c r="F184" s="225"/>
      <c r="G184" s="253"/>
      <c r="J184" s="35"/>
      <c r="K184" s="49"/>
      <c r="L184" s="49"/>
      <c r="O184" s="45"/>
      <c r="P184" s="59" t="s">
        <v>86</v>
      </c>
      <c r="Q184" s="46"/>
      <c r="R184" s="48"/>
      <c r="S184" s="52"/>
      <c r="T184" s="29"/>
    </row>
    <row r="185" spans="1:25" s="23" customFormat="1" ht="22.5">
      <c r="J185" s="35"/>
      <c r="K185" s="35"/>
      <c r="L185" s="50"/>
      <c r="M185" s="50"/>
      <c r="O185" s="36"/>
      <c r="P185" s="35"/>
      <c r="Q185" s="35"/>
      <c r="R185" s="37"/>
      <c r="T185" s="29"/>
    </row>
    <row r="186" spans="1:25" ht="20.25">
      <c r="J186" s="38"/>
      <c r="K186" s="35"/>
      <c r="L186" s="35"/>
      <c r="M186" s="51"/>
      <c r="O186" s="36"/>
      <c r="P186" s="35"/>
      <c r="Q186" s="35"/>
      <c r="R186" s="35"/>
    </row>
    <row r="187" spans="1:25" ht="20.25">
      <c r="J187" s="35"/>
      <c r="O187" s="36"/>
      <c r="Q187" s="35"/>
      <c r="R187" s="35"/>
      <c r="S187" s="26" t="str">
        <f>IF(J183&lt;B183,"L",IF(J183&gt;B183,"L",IF(O183&lt;B184,"L",IF(O183&gt;B184,"L",IF(M186&gt;O183,"L",IF((O184+Q184*0.1+R184*0.01+S184*0.001)*O183+M186*0.001=J183,"J","L"))))))</f>
        <v>L</v>
      </c>
    </row>
    <row r="188" spans="1:25" ht="20.25">
      <c r="J188" s="29" t="s">
        <v>97</v>
      </c>
      <c r="O188" s="40"/>
      <c r="Q188" s="35"/>
      <c r="R188" s="35"/>
      <c r="S188" s="35"/>
      <c r="T188" s="35"/>
    </row>
    <row r="189" spans="1:25" ht="20.25">
      <c r="A189" s="60"/>
      <c r="B189" s="60"/>
      <c r="C189" s="60"/>
      <c r="D189" s="60"/>
      <c r="E189" s="60"/>
      <c r="F189" s="60"/>
      <c r="G189" s="65" t="s">
        <v>103</v>
      </c>
      <c r="H189" s="60"/>
      <c r="I189" s="60"/>
      <c r="J189" s="60"/>
      <c r="K189" s="60"/>
      <c r="L189" s="60"/>
      <c r="M189" s="60"/>
      <c r="N189" s="60"/>
      <c r="O189" s="62"/>
      <c r="P189" s="60"/>
      <c r="Q189" s="61"/>
      <c r="R189" s="61"/>
      <c r="S189" s="61"/>
      <c r="T189" s="60"/>
      <c r="U189" s="60"/>
      <c r="V189" s="60"/>
      <c r="W189" s="60"/>
      <c r="X189" s="60"/>
      <c r="Y189" s="60"/>
    </row>
    <row r="190" spans="1:25" ht="52.5" customHeight="1">
      <c r="D190" s="19"/>
    </row>
    <row r="191" spans="1:25" s="23" customFormat="1" ht="23.25" customHeight="1" thickBot="1">
      <c r="A191" s="23" t="s">
        <v>64</v>
      </c>
      <c r="B191" s="30">
        <v>1</v>
      </c>
      <c r="C191" s="29"/>
      <c r="D191" s="229">
        <f>O192+Q192*0.1+R192*0.01+S192*0.001</f>
        <v>0</v>
      </c>
      <c r="F191" s="225"/>
      <c r="G191" s="253" t="str">
        <f>IF(H191="J","%","")</f>
        <v/>
      </c>
      <c r="H191" s="17" t="str">
        <f>IF(F191="","",IF(F191=D191*100,"J","L"))</f>
        <v/>
      </c>
      <c r="I191" s="57"/>
      <c r="J191" s="42"/>
      <c r="K191" s="42"/>
      <c r="O191" s="58"/>
      <c r="P191" s="35"/>
      <c r="Q191" s="35"/>
      <c r="R191" s="35"/>
      <c r="T191" s="29"/>
    </row>
    <row r="192" spans="1:25" s="23" customFormat="1" ht="23.25" customHeight="1" thickTop="1">
      <c r="B192" s="31">
        <v>12</v>
      </c>
      <c r="C192" s="29"/>
      <c r="D192" s="229"/>
      <c r="E192" s="29"/>
      <c r="F192" s="225"/>
      <c r="G192" s="253"/>
      <c r="K192" s="49"/>
      <c r="L192" s="49"/>
      <c r="O192" s="45"/>
      <c r="P192" s="59" t="s">
        <v>86</v>
      </c>
      <c r="Q192" s="46"/>
      <c r="R192" s="48"/>
      <c r="S192" s="52"/>
      <c r="T192" s="29"/>
    </row>
    <row r="193" spans="1:38" s="23" customFormat="1" ht="22.5">
      <c r="H193" s="35"/>
      <c r="I193" s="35"/>
      <c r="J193" s="35"/>
      <c r="L193" s="50"/>
      <c r="M193" s="50"/>
      <c r="O193" s="36"/>
      <c r="P193" s="35"/>
      <c r="Q193" s="35"/>
      <c r="R193" s="37"/>
      <c r="T193" s="29"/>
    </row>
    <row r="194" spans="1:38" ht="20.25">
      <c r="H194" s="38"/>
      <c r="I194" s="38"/>
      <c r="J194" s="35"/>
      <c r="L194" s="35"/>
      <c r="M194" s="51"/>
      <c r="O194" s="36"/>
      <c r="P194" s="35"/>
      <c r="Q194" s="35"/>
      <c r="R194" s="35"/>
    </row>
    <row r="195" spans="1:38" ht="20.25">
      <c r="J195" s="35"/>
      <c r="O195" s="36"/>
      <c r="Q195" s="35"/>
      <c r="R195" s="35"/>
      <c r="S195" s="26" t="str">
        <f>IF(I191&lt;B191,"L",IF(I191&gt;B191,"L",IF(O191&lt;B192,"L",IF(O191&gt;B192,"L",IF(M194&gt;O191,"L",IF((O192+Q192*0.1+R192*0.01+S192*0.001)*O191+M194*0.001=I191,"J","L"))))))</f>
        <v>L</v>
      </c>
    </row>
    <row r="196" spans="1:38" ht="20.25">
      <c r="J196" s="29" t="s">
        <v>97</v>
      </c>
      <c r="O196" s="40"/>
      <c r="Q196" s="35"/>
      <c r="R196" s="35"/>
      <c r="S196" s="35"/>
      <c r="T196" s="35"/>
    </row>
    <row r="197" spans="1:38" ht="21" thickBot="1">
      <c r="A197" s="60"/>
      <c r="B197" s="60"/>
      <c r="C197" s="60"/>
      <c r="D197" s="60"/>
      <c r="E197" s="60"/>
      <c r="F197" s="60"/>
      <c r="G197" s="65" t="s">
        <v>103</v>
      </c>
      <c r="H197" s="60"/>
      <c r="I197" s="60"/>
      <c r="J197" s="60"/>
      <c r="K197" s="60"/>
      <c r="L197" s="60"/>
      <c r="M197" s="60"/>
      <c r="N197" s="60"/>
      <c r="O197" s="62"/>
      <c r="P197" s="60"/>
      <c r="Q197" s="61"/>
      <c r="R197" s="61"/>
      <c r="S197" s="61"/>
      <c r="T197" s="60"/>
      <c r="U197" s="60"/>
      <c r="V197" s="60"/>
      <c r="W197" s="60"/>
      <c r="X197" s="60"/>
      <c r="Y197" s="60"/>
    </row>
    <row r="198" spans="1:38" ht="42.75" customHeight="1" thickTop="1" thickBot="1">
      <c r="A198" s="16"/>
      <c r="B198" s="16"/>
      <c r="C198" s="16"/>
      <c r="D198" s="16"/>
      <c r="E198" s="16"/>
      <c r="F198" s="89">
        <f>F200*10</f>
        <v>0</v>
      </c>
      <c r="G198" s="90" t="s">
        <v>102</v>
      </c>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row>
    <row r="199" spans="1:38" ht="13.5" customHeight="1" thickTop="1" thickBo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row>
    <row r="200" spans="1:38" s="16" customFormat="1" ht="22.5" customHeight="1" thickTop="1" thickBot="1">
      <c r="D200" s="24" t="s">
        <v>104</v>
      </c>
      <c r="F200" s="88">
        <f>COUNTIF(H119:H191,"J")</f>
        <v>0</v>
      </c>
      <c r="G200" s="24" t="s">
        <v>105</v>
      </c>
    </row>
    <row r="201" spans="1:38" s="16" customFormat="1" ht="15.75" thickTop="1"/>
    <row r="202" spans="1:38" ht="59.25" customHeight="1">
      <c r="A202" s="47"/>
      <c r="B202" s="47"/>
      <c r="C202" s="47"/>
      <c r="D202" s="47"/>
      <c r="E202" s="47"/>
      <c r="F202" s="47"/>
      <c r="G202" s="47"/>
      <c r="H202" s="43"/>
      <c r="I202" s="43"/>
      <c r="J202" s="43"/>
      <c r="K202" s="44"/>
      <c r="L202" s="53"/>
      <c r="M202" s="43"/>
      <c r="N202" s="43"/>
      <c r="O202" s="43"/>
      <c r="P202" s="43"/>
      <c r="Q202" s="47"/>
      <c r="R202" s="47"/>
      <c r="S202" s="47"/>
      <c r="T202" s="47"/>
      <c r="U202" s="47"/>
      <c r="V202" s="47"/>
      <c r="W202" s="47"/>
      <c r="X202" s="47"/>
    </row>
    <row r="203" spans="1:38">
      <c r="A203" s="29" t="s">
        <v>124</v>
      </c>
      <c r="D203" s="19"/>
    </row>
    <row r="204" spans="1:38">
      <c r="A204" s="29" t="s">
        <v>125</v>
      </c>
      <c r="D204" s="19"/>
    </row>
    <row r="205" spans="1:38">
      <c r="A205" s="29" t="s">
        <v>106</v>
      </c>
      <c r="D205" s="19"/>
    </row>
    <row r="206" spans="1:38" s="16" customFormat="1">
      <c r="A206" s="29" t="s">
        <v>107</v>
      </c>
    </row>
    <row r="207" spans="1:38" s="16" customFormat="1" ht="15"/>
    <row r="208" spans="1:38" ht="31.5" customHeight="1">
      <c r="A208" s="29" t="s">
        <v>67</v>
      </c>
    </row>
    <row r="209" spans="1:33" ht="20.25" customHeight="1" thickBot="1">
      <c r="B209" s="30">
        <v>3</v>
      </c>
      <c r="D209" s="70">
        <v>1</v>
      </c>
      <c r="E209" s="12"/>
      <c r="F209" s="70">
        <v>50</v>
      </c>
      <c r="G209" s="12"/>
      <c r="H209" s="230">
        <v>50</v>
      </c>
      <c r="I209" s="254" t="str">
        <f>IF(J209="J","%","")</f>
        <v>%</v>
      </c>
      <c r="J209" s="17" t="str">
        <f>IF(H209="","",IF(H209/100=D209/D210,"J","L"))</f>
        <v>J</v>
      </c>
    </row>
    <row r="210" spans="1:33" ht="20.25" customHeight="1" thickTop="1">
      <c r="B210" s="31">
        <v>6</v>
      </c>
      <c r="D210" s="71">
        <v>2</v>
      </c>
      <c r="E210" s="12"/>
      <c r="F210" s="71">
        <v>100</v>
      </c>
      <c r="G210" s="12"/>
      <c r="H210" s="230"/>
      <c r="I210" s="254"/>
      <c r="J210" s="12"/>
    </row>
    <row r="211" spans="1:33">
      <c r="B211" s="56"/>
      <c r="D211" s="19" t="str">
        <f>IF(D209="","",IF(D210="","",IF(D209/D210=B209/B210,"J","L")))</f>
        <v>J</v>
      </c>
      <c r="E211" s="12"/>
      <c r="F211" s="19" t="str">
        <f>IF(F210="","",IF(F209="","",IF(F209/F210=D209/D210,"J","L")))</f>
        <v>J</v>
      </c>
      <c r="G211" s="12"/>
      <c r="H211" s="12"/>
      <c r="I211" s="12"/>
      <c r="J211" s="12"/>
    </row>
    <row r="212" spans="1:33" s="16" customFormat="1" ht="15">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c r="AG212" s="92"/>
    </row>
    <row r="213" spans="1:33" s="16" customFormat="1" ht="15"/>
    <row r="214" spans="1:33" s="16" customFormat="1" ht="20.25" customHeight="1" thickBot="1">
      <c r="A214" s="29" t="s">
        <v>54</v>
      </c>
      <c r="B214" s="30">
        <v>4</v>
      </c>
      <c r="C214" s="29"/>
      <c r="D214" s="15"/>
      <c r="E214" s="29"/>
      <c r="F214" s="15"/>
      <c r="G214" s="29"/>
      <c r="H214" s="225"/>
      <c r="I214" s="253" t="str">
        <f>IF(J214="J","%","")</f>
        <v/>
      </c>
      <c r="J214" s="17" t="str">
        <f>IF(H214="","",IF(H214/100=D214/D215,"J","L"))</f>
        <v/>
      </c>
    </row>
    <row r="215" spans="1:33" s="16" customFormat="1" ht="20.25" customHeight="1" thickTop="1">
      <c r="B215" s="31">
        <v>8</v>
      </c>
      <c r="C215" s="29"/>
      <c r="D215" s="32"/>
      <c r="E215" s="29"/>
      <c r="F215" s="32"/>
      <c r="G215" s="29"/>
      <c r="H215" s="225"/>
      <c r="I215" s="253"/>
      <c r="J215" s="12"/>
    </row>
    <row r="216" spans="1:33" s="16" customFormat="1">
      <c r="B216" s="56"/>
      <c r="C216" s="29"/>
      <c r="D216" s="91" t="str">
        <f>IF(D214="","",IF(D215="","",IF(D214/D215=B214/B215,"J","L")))</f>
        <v/>
      </c>
      <c r="E216" s="29"/>
      <c r="F216" s="19" t="str">
        <f>IF(F215="","",IF(F214="","",IF(F214/F215=D214/D215,"J","L")))</f>
        <v/>
      </c>
      <c r="G216" s="29"/>
      <c r="H216" s="29"/>
      <c r="I216" s="29"/>
      <c r="J216" s="29"/>
    </row>
    <row r="217" spans="1:33" s="16" customFormat="1" ht="15"/>
    <row r="218" spans="1:33" s="16" customFormat="1" ht="20.25" thickBot="1">
      <c r="A218" s="29" t="s">
        <v>55</v>
      </c>
      <c r="B218" s="30">
        <v>4</v>
      </c>
      <c r="C218" s="29"/>
      <c r="D218" s="15"/>
      <c r="E218" s="29"/>
      <c r="F218" s="15"/>
      <c r="G218" s="29"/>
      <c r="H218" s="225"/>
      <c r="I218" s="253" t="str">
        <f>IF(J218="J","%","")</f>
        <v/>
      </c>
      <c r="J218" s="17" t="str">
        <f>IF(H218="","",IF(H218/100=D218/D219,"J","L"))</f>
        <v/>
      </c>
    </row>
    <row r="219" spans="1:33" s="16" customFormat="1" ht="20.25" thickTop="1">
      <c r="B219" s="31">
        <v>16</v>
      </c>
      <c r="C219" s="29"/>
      <c r="D219" s="32"/>
      <c r="E219" s="29"/>
      <c r="F219" s="32"/>
      <c r="G219" s="29"/>
      <c r="H219" s="225"/>
      <c r="I219" s="253"/>
      <c r="J219" s="12"/>
    </row>
    <row r="220" spans="1:33" s="16" customFormat="1">
      <c r="B220" s="56"/>
      <c r="C220" s="29"/>
      <c r="D220" s="91" t="str">
        <f>IF(D218="","",IF(D219="","",IF(D218/D219=B218/B219,"J","L")))</f>
        <v/>
      </c>
      <c r="E220" s="29"/>
      <c r="F220" s="19" t="str">
        <f>IF(F219="","",IF(F218="","",IF(F218/F219=D218/D219,"J","L")))</f>
        <v/>
      </c>
      <c r="G220" s="29"/>
      <c r="H220" s="29"/>
      <c r="I220" s="29"/>
      <c r="J220" s="29"/>
    </row>
    <row r="221" spans="1:33" s="16" customFormat="1" ht="15"/>
    <row r="222" spans="1:33" s="16" customFormat="1" ht="20.25" thickBot="1">
      <c r="A222" s="29" t="s">
        <v>56</v>
      </c>
      <c r="B222" s="30">
        <v>9</v>
      </c>
      <c r="C222" s="29"/>
      <c r="D222" s="15"/>
      <c r="E222" s="29"/>
      <c r="F222" s="15"/>
      <c r="G222" s="29"/>
      <c r="H222" s="225"/>
      <c r="I222" s="253" t="str">
        <f>IF(J222="J","%","")</f>
        <v/>
      </c>
      <c r="J222" s="17" t="str">
        <f>IF(H222="","",IF(H222/100=D222/D223,"J","L"))</f>
        <v/>
      </c>
      <c r="M222" s="16" t="s">
        <v>59</v>
      </c>
    </row>
    <row r="223" spans="1:33" s="16" customFormat="1" ht="20.25" thickTop="1">
      <c r="B223" s="31">
        <v>15</v>
      </c>
      <c r="C223" s="29"/>
      <c r="D223" s="32"/>
      <c r="E223" s="29"/>
      <c r="F223" s="32"/>
      <c r="G223" s="29"/>
      <c r="H223" s="225"/>
      <c r="I223" s="253"/>
      <c r="J223" s="12"/>
    </row>
    <row r="224" spans="1:33" s="16" customFormat="1">
      <c r="B224" s="56"/>
      <c r="C224" s="29"/>
      <c r="D224" s="91" t="str">
        <f>IF(D222="","",IF(D223="","",IF(D222/D223=B222/B223,"J","L")))</f>
        <v/>
      </c>
      <c r="E224" s="29"/>
      <c r="F224" s="19" t="str">
        <f>IF(F223="","",IF(F222="","",IF(F222/F223=D222/D223,"J","L")))</f>
        <v/>
      </c>
      <c r="G224" s="29"/>
      <c r="H224" s="29"/>
      <c r="I224" s="29"/>
      <c r="J224" s="29"/>
    </row>
    <row r="225" spans="1:13" s="16" customFormat="1" ht="15"/>
    <row r="226" spans="1:13" s="16" customFormat="1" ht="20.25" thickBot="1">
      <c r="A226" s="29" t="s">
        <v>57</v>
      </c>
      <c r="B226" s="30">
        <v>6</v>
      </c>
      <c r="C226" s="29"/>
      <c r="D226" s="15"/>
      <c r="E226" s="29"/>
      <c r="F226" s="15"/>
      <c r="G226" s="29"/>
      <c r="H226" s="225"/>
      <c r="I226" s="253" t="str">
        <f>IF(J226="J","%","")</f>
        <v/>
      </c>
      <c r="J226" s="17" t="str">
        <f>IF(H226="","",IF(H226/100=D226/D227,"J","L"))</f>
        <v/>
      </c>
      <c r="M226" s="16" t="s">
        <v>59</v>
      </c>
    </row>
    <row r="227" spans="1:13" s="16" customFormat="1" ht="20.25" thickTop="1">
      <c r="B227" s="31">
        <v>30</v>
      </c>
      <c r="C227" s="29"/>
      <c r="D227" s="32"/>
      <c r="E227" s="29"/>
      <c r="F227" s="32"/>
      <c r="G227" s="29"/>
      <c r="H227" s="225"/>
      <c r="I227" s="253"/>
      <c r="J227" s="12"/>
    </row>
    <row r="228" spans="1:13" s="16" customFormat="1">
      <c r="B228" s="56"/>
      <c r="C228" s="29"/>
      <c r="D228" s="91" t="str">
        <f>IF(D226="","",IF(D227="","",IF(D226/D227=B226/B227,"J","L")))</f>
        <v/>
      </c>
      <c r="E228" s="29"/>
      <c r="F228" s="19" t="str">
        <f>IF(F227="","",IF(F226="","",IF(F226/F227=D226/D227,"J","L")))</f>
        <v/>
      </c>
      <c r="G228" s="29"/>
      <c r="H228" s="29"/>
      <c r="I228" s="29"/>
      <c r="J228" s="29"/>
    </row>
    <row r="230" spans="1:13" s="16" customFormat="1" ht="20.25" thickBot="1">
      <c r="A230" s="29" t="s">
        <v>58</v>
      </c>
      <c r="B230" s="30">
        <v>6</v>
      </c>
      <c r="C230" s="29"/>
      <c r="D230" s="15"/>
      <c r="E230" s="29"/>
      <c r="F230" s="15"/>
      <c r="G230" s="29"/>
      <c r="H230" s="225"/>
      <c r="I230" s="253" t="str">
        <f>IF(J230="J","%","")</f>
        <v/>
      </c>
      <c r="J230" s="17" t="str">
        <f>IF(H230="","",IF(H230/100=D230/D231,"J","L"))</f>
        <v/>
      </c>
    </row>
    <row r="231" spans="1:13" s="16" customFormat="1" ht="20.25" thickTop="1">
      <c r="B231" s="31">
        <v>12</v>
      </c>
      <c r="C231" s="29"/>
      <c r="D231" s="32"/>
      <c r="E231" s="29"/>
      <c r="F231" s="32"/>
      <c r="G231" s="29"/>
      <c r="H231" s="225"/>
      <c r="I231" s="253"/>
      <c r="J231" s="12"/>
    </row>
    <row r="232" spans="1:13" s="16" customFormat="1">
      <c r="B232" s="56"/>
      <c r="C232" s="29"/>
      <c r="D232" s="91" t="str">
        <f>IF(D230="","",IF(D231="","",IF(D230/D231=B230/B231,"J","L")))</f>
        <v/>
      </c>
      <c r="E232" s="29"/>
      <c r="F232" s="19" t="str">
        <f>IF(F231="","",IF(F230="","",IF(F230/F231=D230/D231,"J","L")))</f>
        <v/>
      </c>
      <c r="G232" s="29"/>
      <c r="H232" s="29"/>
      <c r="I232" s="29"/>
      <c r="J232" s="29"/>
    </row>
    <row r="233" spans="1:13" s="16" customFormat="1" ht="15"/>
    <row r="234" spans="1:13" s="16" customFormat="1" ht="20.25" thickBot="1">
      <c r="A234" s="29" t="s">
        <v>60</v>
      </c>
      <c r="B234" s="30">
        <v>24</v>
      </c>
      <c r="C234" s="29"/>
      <c r="D234" s="15"/>
      <c r="E234" s="29"/>
      <c r="F234" s="15"/>
      <c r="G234" s="29"/>
      <c r="H234" s="225"/>
      <c r="I234" s="253" t="str">
        <f>IF(J234="J","%","")</f>
        <v/>
      </c>
      <c r="J234" s="17" t="str">
        <f>IF(H234="","",IF(H234/100=D234/D235,"J","L"))</f>
        <v/>
      </c>
      <c r="M234" s="16" t="s">
        <v>59</v>
      </c>
    </row>
    <row r="235" spans="1:13" s="16" customFormat="1" ht="20.25" thickTop="1">
      <c r="B235" s="31">
        <v>30</v>
      </c>
      <c r="C235" s="29"/>
      <c r="D235" s="32"/>
      <c r="E235" s="29"/>
      <c r="F235" s="32"/>
      <c r="G235" s="29"/>
      <c r="H235" s="225"/>
      <c r="I235" s="253"/>
      <c r="J235" s="12"/>
    </row>
    <row r="236" spans="1:13" s="16" customFormat="1">
      <c r="B236" s="56"/>
      <c r="C236" s="29"/>
      <c r="D236" s="91" t="str">
        <f>IF(D234="","",IF(D235="","",IF(D234/D235=B234/B235,"J","L")))</f>
        <v/>
      </c>
      <c r="E236" s="29"/>
      <c r="F236" s="19" t="str">
        <f>IF(F235="","",IF(F234="","",IF(F234/F235=D234/D235,"J","L")))</f>
        <v/>
      </c>
      <c r="G236" s="29"/>
      <c r="H236" s="29"/>
      <c r="I236" s="29"/>
      <c r="J236" s="29"/>
    </row>
    <row r="237" spans="1:13" s="16" customFormat="1" ht="15"/>
    <row r="238" spans="1:13" s="16" customFormat="1" ht="20.25" thickBot="1">
      <c r="A238" s="29" t="s">
        <v>61</v>
      </c>
      <c r="B238" s="30">
        <v>21</v>
      </c>
      <c r="C238" s="29"/>
      <c r="D238" s="15"/>
      <c r="E238" s="29"/>
      <c r="F238" s="15"/>
      <c r="G238" s="29"/>
      <c r="H238" s="225"/>
      <c r="I238" s="253" t="str">
        <f>IF(J238="J","%","")</f>
        <v/>
      </c>
      <c r="J238" s="17" t="str">
        <f>IF(H238="","",IF(H238/100=D238/D239,"J","L"))</f>
        <v/>
      </c>
      <c r="M238" s="16" t="s">
        <v>59</v>
      </c>
    </row>
    <row r="239" spans="1:13" s="16" customFormat="1" ht="20.25" thickTop="1">
      <c r="B239" s="31">
        <v>35</v>
      </c>
      <c r="C239" s="29"/>
      <c r="D239" s="32"/>
      <c r="E239" s="29"/>
      <c r="F239" s="32"/>
      <c r="G239" s="29"/>
      <c r="H239" s="225"/>
      <c r="I239" s="253"/>
      <c r="J239" s="12"/>
    </row>
    <row r="240" spans="1:13" s="16" customFormat="1">
      <c r="B240" s="56"/>
      <c r="C240" s="29"/>
      <c r="D240" s="91" t="str">
        <f>IF(D238="","",IF(D239="","",IF(D238/D239=B238/B239,"J","L")))</f>
        <v/>
      </c>
      <c r="E240" s="29"/>
      <c r="F240" s="19" t="str">
        <f>IF(F239="","",IF(F238="","",IF(F238/F239=D238/D239,"J","L")))</f>
        <v/>
      </c>
      <c r="G240" s="29"/>
      <c r="H240" s="29"/>
      <c r="I240" s="29"/>
      <c r="J240" s="29"/>
    </row>
    <row r="241" spans="1:38" s="16" customFormat="1" ht="15"/>
    <row r="242" spans="1:38" s="16" customFormat="1" ht="20.25" thickBot="1">
      <c r="A242" s="29" t="s">
        <v>62</v>
      </c>
      <c r="B242" s="30">
        <v>2</v>
      </c>
      <c r="C242" s="29"/>
      <c r="D242" s="15"/>
      <c r="E242" s="29"/>
      <c r="F242" s="15"/>
      <c r="G242" s="29"/>
      <c r="H242" s="225"/>
      <c r="I242" s="253" t="str">
        <f>IF(J242="J","%","")</f>
        <v/>
      </c>
      <c r="J242" s="17" t="str">
        <f>IF(H242="","",IF(H242/100=D242/D243,"J","L"))</f>
        <v/>
      </c>
    </row>
    <row r="243" spans="1:38" s="16" customFormat="1" ht="20.25" thickTop="1">
      <c r="B243" s="31">
        <v>8</v>
      </c>
      <c r="C243" s="29"/>
      <c r="D243" s="32"/>
      <c r="E243" s="29"/>
      <c r="F243" s="32"/>
      <c r="G243" s="29"/>
      <c r="H243" s="225"/>
      <c r="I243" s="253"/>
      <c r="J243" s="12"/>
    </row>
    <row r="244" spans="1:38" s="16" customFormat="1">
      <c r="B244" s="56"/>
      <c r="C244" s="29"/>
      <c r="D244" s="91" t="str">
        <f>IF(D242="","",IF(D243="","",IF(D242/D243=B242/B243,"J","L")))</f>
        <v/>
      </c>
      <c r="E244" s="29"/>
      <c r="F244" s="19" t="str">
        <f>IF(F243="","",IF(F242="","",IF(F242/F243=D242/D243,"J","L")))</f>
        <v/>
      </c>
      <c r="G244" s="29"/>
      <c r="H244" s="29"/>
      <c r="I244" s="29"/>
      <c r="J244" s="29"/>
    </row>
    <row r="246" spans="1:38" s="16" customFormat="1" ht="20.25" thickBot="1">
      <c r="A246" s="29" t="s">
        <v>63</v>
      </c>
      <c r="B246" s="30">
        <v>2</v>
      </c>
      <c r="C246" s="29"/>
      <c r="D246" s="15"/>
      <c r="E246" s="29"/>
      <c r="F246" s="15"/>
      <c r="G246" s="29"/>
      <c r="H246" s="225"/>
      <c r="I246" s="253" t="str">
        <f>IF(J246="J","%","")</f>
        <v/>
      </c>
      <c r="J246" s="17" t="str">
        <f>IF(H246="","",IF(H246/100=D246/D247,"J","L"))</f>
        <v/>
      </c>
      <c r="M246" s="16" t="s">
        <v>59</v>
      </c>
    </row>
    <row r="247" spans="1:38" s="16" customFormat="1" ht="20.25" thickTop="1">
      <c r="B247" s="31">
        <v>16</v>
      </c>
      <c r="C247" s="29"/>
      <c r="D247" s="32"/>
      <c r="E247" s="29"/>
      <c r="F247" s="32"/>
      <c r="G247" s="29"/>
      <c r="H247" s="225"/>
      <c r="I247" s="253"/>
      <c r="J247" s="12"/>
    </row>
    <row r="248" spans="1:38" s="16" customFormat="1">
      <c r="B248" s="56"/>
      <c r="C248" s="29"/>
      <c r="D248" s="91" t="str">
        <f>IF(D246="","",IF(D247="","",IF(D246/D247=B246/B247,"J","L")))</f>
        <v/>
      </c>
      <c r="E248" s="29"/>
      <c r="F248" s="19" t="str">
        <f>IF(F247="","",IF(F246="","",IF(F246/F247=D246/D247,"J","L")))</f>
        <v/>
      </c>
      <c r="G248" s="29"/>
      <c r="H248" s="29"/>
      <c r="I248" s="29"/>
      <c r="J248" s="29"/>
    </row>
    <row r="249" spans="1:38" s="16" customFormat="1" ht="15"/>
    <row r="250" spans="1:38" s="16" customFormat="1" ht="20.25" thickBot="1">
      <c r="A250" s="29" t="s">
        <v>64</v>
      </c>
      <c r="B250" s="30">
        <v>24</v>
      </c>
      <c r="C250" s="29"/>
      <c r="D250" s="15"/>
      <c r="E250" s="29"/>
      <c r="F250" s="15"/>
      <c r="G250" s="29"/>
      <c r="H250" s="225"/>
      <c r="I250" s="253" t="str">
        <f>IF(J250="J","%","")</f>
        <v/>
      </c>
      <c r="J250" s="17" t="str">
        <f>IF(H250="","",IF(H250/100=D250/D251,"J","L"))</f>
        <v/>
      </c>
      <c r="M250" s="16" t="s">
        <v>59</v>
      </c>
    </row>
    <row r="251" spans="1:38" s="16" customFormat="1" ht="20.25" thickTop="1">
      <c r="B251" s="31">
        <v>60</v>
      </c>
      <c r="C251" s="29"/>
      <c r="D251" s="32"/>
      <c r="E251" s="29"/>
      <c r="F251" s="32"/>
      <c r="G251" s="29"/>
      <c r="H251" s="225"/>
      <c r="I251" s="253"/>
      <c r="J251" s="12"/>
    </row>
    <row r="252" spans="1:38" s="16" customFormat="1" ht="20.25" thickBot="1">
      <c r="B252" s="56"/>
      <c r="C252" s="29"/>
      <c r="D252" s="91" t="str">
        <f>IF(D250="","",IF(D251="","",IF(D250/D251=B250/B251,"J","L")))</f>
        <v/>
      </c>
      <c r="E252" s="29"/>
      <c r="F252" s="19" t="str">
        <f>IF(F251="","",IF(F250="","",IF(F250/F251=D250/D251,"J","L")))</f>
        <v/>
      </c>
      <c r="G252" s="29"/>
      <c r="H252" s="29"/>
      <c r="I252" s="29"/>
      <c r="J252" s="29"/>
    </row>
    <row r="253" spans="1:38" ht="42.75" customHeight="1" thickTop="1" thickBot="1">
      <c r="A253" s="16"/>
      <c r="B253" s="16"/>
      <c r="C253" s="16"/>
      <c r="D253" s="16"/>
      <c r="E253" s="16"/>
      <c r="F253" s="89">
        <f>F255*10</f>
        <v>0</v>
      </c>
      <c r="G253" s="90" t="s">
        <v>102</v>
      </c>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row>
    <row r="254" spans="1:38" ht="13.5" customHeight="1" thickTop="1" thickBo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row>
    <row r="255" spans="1:38" s="16" customFormat="1" ht="22.5" customHeight="1" thickTop="1" thickBot="1">
      <c r="D255" s="24" t="s">
        <v>104</v>
      </c>
      <c r="F255" s="88">
        <f>COUNTIF(J214:J251,"J")</f>
        <v>0</v>
      </c>
      <c r="G255" s="24" t="s">
        <v>105</v>
      </c>
    </row>
    <row r="256" spans="1:38" ht="20.25" thickTop="1"/>
    <row r="257" spans="1:24" ht="59.25" customHeight="1">
      <c r="A257" s="47"/>
      <c r="B257" s="47"/>
      <c r="C257" s="47"/>
      <c r="D257" s="47"/>
      <c r="E257" s="47"/>
      <c r="F257" s="47"/>
      <c r="G257" s="47"/>
      <c r="H257" s="43"/>
      <c r="I257" s="43"/>
      <c r="J257" s="43"/>
      <c r="K257" s="44"/>
      <c r="L257" s="53"/>
      <c r="M257" s="43"/>
      <c r="N257" s="43"/>
      <c r="O257" s="43"/>
      <c r="P257" s="43"/>
      <c r="Q257" s="47"/>
      <c r="R257" s="47"/>
      <c r="S257" s="47"/>
      <c r="T257" s="47"/>
      <c r="U257" s="47"/>
      <c r="V257" s="47"/>
      <c r="W257" s="47"/>
      <c r="X257" s="47"/>
    </row>
    <row r="258" spans="1:24">
      <c r="A258" s="29" t="s">
        <v>109</v>
      </c>
      <c r="D258" s="19"/>
    </row>
    <row r="259" spans="1:24" ht="43.5" customHeight="1"/>
    <row r="260" spans="1:24" ht="20.25" customHeight="1" thickBot="1">
      <c r="A260" s="29" t="s">
        <v>54</v>
      </c>
      <c r="B260" s="30">
        <v>5</v>
      </c>
      <c r="D260" s="15"/>
      <c r="E260" s="12"/>
      <c r="F260" s="225"/>
      <c r="G260" s="253" t="str">
        <f>IF(H260="J","%","")</f>
        <v/>
      </c>
      <c r="H260" s="17" t="str">
        <f>IF(F260="","",IF(F260/100=B260/B261,"J","L"))</f>
        <v/>
      </c>
    </row>
    <row r="261" spans="1:24" ht="24" customHeight="1" thickTop="1" thickBot="1">
      <c r="B261" s="31">
        <v>20</v>
      </c>
      <c r="D261" s="32"/>
      <c r="E261" s="12"/>
      <c r="F261" s="225"/>
      <c r="G261" s="253"/>
      <c r="H261" s="12"/>
      <c r="J261" s="57"/>
      <c r="K261" s="42"/>
      <c r="L261" s="42"/>
      <c r="M261" s="23"/>
      <c r="N261" s="23"/>
      <c r="O261" s="58"/>
      <c r="P261" s="35"/>
      <c r="Q261" s="35"/>
      <c r="R261" s="35"/>
      <c r="S261" s="23"/>
    </row>
    <row r="262" spans="1:24" ht="23.25" thickTop="1">
      <c r="D262" s="19" t="str">
        <f>IF(D261="","",IF(D260="","",IF(D260/D261=B260/B261,"J","L")))</f>
        <v/>
      </c>
      <c r="E262" s="12"/>
      <c r="F262" s="12"/>
      <c r="G262" s="12"/>
      <c r="H262" s="12"/>
      <c r="J262" s="49"/>
      <c r="K262" s="49"/>
      <c r="L262" s="49"/>
      <c r="M262" s="23"/>
      <c r="N262" s="23"/>
      <c r="O262" s="45"/>
      <c r="P262" s="59" t="s">
        <v>86</v>
      </c>
      <c r="Q262" s="46"/>
      <c r="R262" s="48"/>
      <c r="S262" s="52"/>
    </row>
    <row r="263" spans="1:24" ht="22.5">
      <c r="J263" s="35"/>
      <c r="K263" s="35"/>
      <c r="L263" s="50"/>
      <c r="M263" s="50"/>
      <c r="N263" s="23"/>
      <c r="O263" s="36"/>
      <c r="P263" s="35"/>
      <c r="Q263" s="35"/>
      <c r="R263" s="37"/>
      <c r="S263" s="23"/>
    </row>
    <row r="264" spans="1:24" ht="21" customHeight="1" thickBot="1">
      <c r="A264" s="29" t="s">
        <v>55</v>
      </c>
      <c r="B264" s="30">
        <v>4</v>
      </c>
      <c r="D264" s="15"/>
      <c r="E264" s="12"/>
      <c r="F264" s="225"/>
      <c r="G264" s="253" t="str">
        <f>IF(H264="J","%","")</f>
        <v/>
      </c>
      <c r="H264" s="17" t="str">
        <f>IF(F264="","",IF(F264/100=B264/B265,"J","L"))</f>
        <v/>
      </c>
      <c r="J264" s="38"/>
      <c r="K264" s="35"/>
      <c r="L264" s="35"/>
      <c r="M264" s="51"/>
      <c r="O264" s="36"/>
      <c r="P264" s="35"/>
      <c r="Q264" s="35"/>
      <c r="R264" s="35"/>
    </row>
    <row r="265" spans="1:24" ht="21" customHeight="1" thickTop="1">
      <c r="B265" s="31">
        <v>5</v>
      </c>
      <c r="D265" s="32"/>
      <c r="E265" s="12"/>
      <c r="F265" s="225"/>
      <c r="G265" s="253"/>
      <c r="H265" s="12"/>
      <c r="J265" s="35"/>
      <c r="O265" s="36"/>
      <c r="Q265" s="35"/>
      <c r="R265" s="35"/>
      <c r="S265" s="26" t="str">
        <f>IF(M264&gt;O261,"L",IF((O262+Q262*0.1+R262*0.01+S262*0.001)*O261+M264*0.001=J261,"J","L"))</f>
        <v>J</v>
      </c>
    </row>
    <row r="266" spans="1:24">
      <c r="D266" s="19" t="str">
        <f>IF(D265="","",IF(D264="","",IF(D264/D265=B264/B265,"J","L")))</f>
        <v/>
      </c>
      <c r="E266" s="12"/>
      <c r="F266" s="12"/>
      <c r="G266" s="12"/>
      <c r="H266" s="12"/>
    </row>
    <row r="268" spans="1:24" ht="20.25" customHeight="1" thickBot="1">
      <c r="A268" s="29" t="s">
        <v>56</v>
      </c>
      <c r="B268" s="30">
        <v>5</v>
      </c>
      <c r="D268" s="15"/>
      <c r="F268" s="225"/>
      <c r="G268" s="253" t="str">
        <f>IF(H268="J","%","")</f>
        <v/>
      </c>
      <c r="H268" s="17" t="str">
        <f>IF(F268="","",IF(F268/100=B268/B269,"J","L"))</f>
        <v/>
      </c>
    </row>
    <row r="269" spans="1:24" ht="20.25" customHeight="1" thickTop="1">
      <c r="B269" s="31">
        <v>8</v>
      </c>
      <c r="D269" s="32"/>
      <c r="F269" s="225"/>
      <c r="G269" s="253"/>
      <c r="H269" s="12"/>
    </row>
    <row r="270" spans="1:24">
      <c r="D270" s="19" t="str">
        <f>IF(D269="","",IF(D268="","",IF(D268/D269=B268/B269,"J","L")))</f>
        <v/>
      </c>
    </row>
    <row r="272" spans="1:24" ht="20.25" customHeight="1" thickBot="1">
      <c r="A272" s="29" t="s">
        <v>57</v>
      </c>
      <c r="B272" s="30">
        <v>4</v>
      </c>
      <c r="D272" s="15"/>
      <c r="F272" s="225"/>
      <c r="G272" s="253" t="str">
        <f>IF(H272="J","%","")</f>
        <v/>
      </c>
      <c r="H272" s="17" t="str">
        <f>IF(F272="","",IF(F272/100=B272/B273,"J","L"))</f>
        <v/>
      </c>
    </row>
    <row r="273" spans="1:19" ht="20.25" customHeight="1" thickTop="1">
      <c r="B273" s="31">
        <v>4</v>
      </c>
      <c r="D273" s="32"/>
      <c r="F273" s="225"/>
      <c r="G273" s="253"/>
      <c r="H273" s="12"/>
    </row>
    <row r="274" spans="1:19">
      <c r="D274" s="19" t="str">
        <f>IF(D273="","",IF(D272="","",IF(D272/D273=B272/B273,"J","L")))</f>
        <v/>
      </c>
    </row>
    <row r="276" spans="1:19" ht="20.25" customHeight="1" thickBot="1">
      <c r="A276" s="29" t="s">
        <v>58</v>
      </c>
      <c r="B276" s="30">
        <v>10</v>
      </c>
      <c r="D276" s="15"/>
      <c r="F276" s="225"/>
      <c r="G276" s="253" t="str">
        <f>IF(H276="J","%","")</f>
        <v/>
      </c>
      <c r="H276" s="17" t="str">
        <f>IF(F276="","",IF(F276/100=B276/B277,"J","L"))</f>
        <v/>
      </c>
    </row>
    <row r="277" spans="1:19" ht="20.25" customHeight="1" thickTop="1">
      <c r="B277" s="31">
        <v>25</v>
      </c>
      <c r="D277" s="32"/>
      <c r="F277" s="225"/>
      <c r="G277" s="253"/>
      <c r="H277" s="12"/>
    </row>
    <row r="278" spans="1:19">
      <c r="D278" s="19" t="str">
        <f>IF(D277="","",IF(D276="","",IF(D276/D277=B276/B277,"J","L")))</f>
        <v/>
      </c>
    </row>
    <row r="279" spans="1:19" ht="23.25" thickBot="1">
      <c r="D279" s="19"/>
      <c r="J279" s="57"/>
      <c r="K279" s="42"/>
      <c r="L279" s="42"/>
      <c r="M279" s="23"/>
      <c r="N279" s="23"/>
      <c r="O279" s="58"/>
      <c r="P279" s="35"/>
      <c r="Q279" s="35"/>
      <c r="R279" s="35"/>
      <c r="S279" s="23"/>
    </row>
    <row r="280" spans="1:19" ht="24" customHeight="1" thickTop="1" thickBot="1">
      <c r="A280" s="29" t="s">
        <v>60</v>
      </c>
      <c r="B280" s="30">
        <v>1</v>
      </c>
      <c r="D280" s="15"/>
      <c r="F280" s="225"/>
      <c r="G280" s="253" t="str">
        <f>IF(H280="J","%","")</f>
        <v/>
      </c>
      <c r="H280" s="17" t="str">
        <f>IF(F280="","",IF(F280/100=B280/B281,"J","L"))</f>
        <v/>
      </c>
      <c r="J280" s="49"/>
      <c r="K280" s="49"/>
      <c r="L280" s="49"/>
      <c r="M280" s="23"/>
      <c r="N280" s="23"/>
      <c r="O280" s="45"/>
      <c r="P280" s="59" t="s">
        <v>86</v>
      </c>
      <c r="Q280" s="46"/>
      <c r="R280" s="48"/>
      <c r="S280" s="52"/>
    </row>
    <row r="281" spans="1:19" ht="23.25" customHeight="1" thickTop="1">
      <c r="B281" s="31">
        <v>50</v>
      </c>
      <c r="D281" s="32"/>
      <c r="F281" s="225"/>
      <c r="G281" s="253"/>
      <c r="H281" s="12"/>
      <c r="J281" s="35"/>
      <c r="K281" s="35"/>
      <c r="L281" s="50"/>
      <c r="M281" s="50"/>
      <c r="N281" s="23"/>
      <c r="O281" s="36"/>
      <c r="P281" s="35"/>
      <c r="Q281" s="35"/>
      <c r="R281" s="37"/>
      <c r="S281" s="23"/>
    </row>
    <row r="282" spans="1:19" ht="20.25">
      <c r="D282" s="19" t="str">
        <f>IF(D281="","",IF(D280="","",IF(D280/D281=B280/B281,"J","L")))</f>
        <v/>
      </c>
      <c r="J282" s="38"/>
      <c r="K282" s="35"/>
      <c r="L282" s="35"/>
      <c r="M282" s="51"/>
      <c r="O282" s="36"/>
      <c r="P282" s="35"/>
      <c r="Q282" s="35"/>
      <c r="R282" s="35"/>
    </row>
    <row r="283" spans="1:19" ht="20.25">
      <c r="J283" s="35"/>
      <c r="O283" s="36"/>
      <c r="Q283" s="35"/>
      <c r="R283" s="35"/>
      <c r="S283" s="26" t="str">
        <f>IF(M282&gt;O279,"L",IF((O280+Q280*0.1+R280*0.01+S280*0.001)*O279+M282*0.001=J279,"J","L"))</f>
        <v>J</v>
      </c>
    </row>
    <row r="284" spans="1:19" ht="20.25" customHeight="1" thickBot="1">
      <c r="A284" s="29" t="s">
        <v>61</v>
      </c>
      <c r="B284" s="30">
        <v>3</v>
      </c>
      <c r="D284" s="15"/>
      <c r="F284" s="225"/>
      <c r="G284" s="253" t="str">
        <f>IF(H284="J","%","")</f>
        <v/>
      </c>
      <c r="H284" s="17" t="str">
        <f>IF(F284="","",IF(F284/100=B284/B285,"J","L"))</f>
        <v/>
      </c>
    </row>
    <row r="285" spans="1:19" ht="20.25" customHeight="1" thickTop="1">
      <c r="B285" s="31">
        <v>20</v>
      </c>
      <c r="D285" s="32"/>
      <c r="F285" s="225"/>
      <c r="G285" s="253"/>
      <c r="H285" s="12"/>
    </row>
    <row r="286" spans="1:19">
      <c r="D286" s="19" t="str">
        <f>IF(D285="","",IF(D284="","",IF(D284/D285=B284/B285,"J","L")))</f>
        <v/>
      </c>
    </row>
    <row r="288" spans="1:19" ht="20.25" customHeight="1" thickBot="1">
      <c r="A288" s="29" t="s">
        <v>62</v>
      </c>
      <c r="B288" s="30">
        <v>7</v>
      </c>
      <c r="D288" s="15"/>
      <c r="F288" s="225"/>
      <c r="G288" s="253" t="str">
        <f>IF(H288="J","%","")</f>
        <v/>
      </c>
      <c r="H288" s="17" t="str">
        <f>IF(F288="","",IF(F288/100=B288/B289,"J","L"))</f>
        <v/>
      </c>
    </row>
    <row r="289" spans="1:22" ht="21" customHeight="1" thickTop="1" thickBot="1">
      <c r="B289" s="31">
        <v>25</v>
      </c>
      <c r="D289" s="32"/>
      <c r="F289" s="225"/>
      <c r="G289" s="253"/>
      <c r="H289" s="12"/>
    </row>
    <row r="290" spans="1:22" ht="30.75" thickTop="1" thickBot="1">
      <c r="D290" s="19" t="str">
        <f>IF(D289="","",IF(D288="","",IF(D288/D289=B288/B289,"J","L")))</f>
        <v/>
      </c>
      <c r="U290" s="87">
        <f>U292*10</f>
        <v>0</v>
      </c>
      <c r="V290" s="64" t="s">
        <v>102</v>
      </c>
    </row>
    <row r="291" spans="1:22" ht="21" thickTop="1" thickBot="1"/>
    <row r="292" spans="1:22" ht="21" customHeight="1" thickTop="1" thickBot="1">
      <c r="A292" s="29" t="s">
        <v>63</v>
      </c>
      <c r="B292" s="30">
        <v>5</v>
      </c>
      <c r="D292" s="15"/>
      <c r="F292" s="225"/>
      <c r="G292" s="253" t="str">
        <f>IF(H292="J","%","")</f>
        <v/>
      </c>
      <c r="H292" s="17" t="str">
        <f>IF(F292="","",IF(F292/100=B292/B293,"J","L"))</f>
        <v/>
      </c>
      <c r="R292" s="29" t="s">
        <v>101</v>
      </c>
      <c r="U292" s="63">
        <f>COUNTIF(H260:H297,"J")</f>
        <v>0</v>
      </c>
    </row>
    <row r="293" spans="1:22" ht="20.25" customHeight="1" thickTop="1">
      <c r="B293" s="31">
        <v>50</v>
      </c>
      <c r="D293" s="32"/>
      <c r="F293" s="225"/>
      <c r="G293" s="253"/>
      <c r="H293" s="12"/>
    </row>
    <row r="294" spans="1:22">
      <c r="D294" s="19" t="str">
        <f>IF(D293="","",IF(D292="","",IF(D292/D293=B292/B293,"J","L")))</f>
        <v/>
      </c>
    </row>
    <row r="296" spans="1:22" ht="20.25" customHeight="1" thickBot="1">
      <c r="A296" s="29" t="s">
        <v>64</v>
      </c>
      <c r="B296" s="30">
        <v>1</v>
      </c>
      <c r="D296" s="15"/>
      <c r="F296" s="225"/>
      <c r="G296" s="253" t="str">
        <f>IF(H296="J","%","")</f>
        <v/>
      </c>
      <c r="H296" s="17" t="str">
        <f>IF(F296="","",IF(F296/100=B296/B297,"J","L"))</f>
        <v/>
      </c>
    </row>
    <row r="297" spans="1:22" ht="20.25" customHeight="1" thickTop="1">
      <c r="B297" s="31">
        <v>25</v>
      </c>
      <c r="D297" s="32"/>
      <c r="F297" s="225"/>
      <c r="G297" s="253"/>
      <c r="H297" s="12"/>
    </row>
    <row r="298" spans="1:22">
      <c r="D298" s="19" t="str">
        <f>IF(D297="","",IF(D296="","",IF(D296/D297=B296/B297,"J","L")))</f>
        <v/>
      </c>
    </row>
    <row r="299" spans="1:22">
      <c r="D299" s="19"/>
    </row>
  </sheetData>
  <sheetProtection password="C613" sheet="1" objects="1" scenarios="1"/>
  <mergeCells count="111">
    <mergeCell ref="F8:F9"/>
    <mergeCell ref="F12:F13"/>
    <mergeCell ref="F16:F17"/>
    <mergeCell ref="G37:G38"/>
    <mergeCell ref="G12:G13"/>
    <mergeCell ref="G16:G17"/>
    <mergeCell ref="G46:G47"/>
    <mergeCell ref="F37:F38"/>
    <mergeCell ref="D55:D56"/>
    <mergeCell ref="F71:F72"/>
    <mergeCell ref="F55:F56"/>
    <mergeCell ref="F75:F76"/>
    <mergeCell ref="D37:D38"/>
    <mergeCell ref="F46:F47"/>
    <mergeCell ref="D46:D47"/>
    <mergeCell ref="D119:D120"/>
    <mergeCell ref="F119:F120"/>
    <mergeCell ref="F79:F80"/>
    <mergeCell ref="F83:F84"/>
    <mergeCell ref="F87:F88"/>
    <mergeCell ref="F91:F92"/>
    <mergeCell ref="D151:D152"/>
    <mergeCell ref="D159:D160"/>
    <mergeCell ref="D167:D168"/>
    <mergeCell ref="D175:D176"/>
    <mergeCell ref="D127:D128"/>
    <mergeCell ref="D135:D136"/>
    <mergeCell ref="D143:D144"/>
    <mergeCell ref="D183:D184"/>
    <mergeCell ref="D191:D192"/>
    <mergeCell ref="F296:F297"/>
    <mergeCell ref="F268:F269"/>
    <mergeCell ref="F272:F273"/>
    <mergeCell ref="F276:F277"/>
    <mergeCell ref="F280:F281"/>
    <mergeCell ref="H234:H235"/>
    <mergeCell ref="H238:H239"/>
    <mergeCell ref="H242:H243"/>
    <mergeCell ref="G264:G265"/>
    <mergeCell ref="G284:G285"/>
    <mergeCell ref="G296:G297"/>
    <mergeCell ref="F143:F144"/>
    <mergeCell ref="G127:G128"/>
    <mergeCell ref="F135:F136"/>
    <mergeCell ref="G135:G136"/>
    <mergeCell ref="G71:G72"/>
    <mergeCell ref="G75:G76"/>
    <mergeCell ref="F288:F289"/>
    <mergeCell ref="F292:F293"/>
    <mergeCell ref="H214:H215"/>
    <mergeCell ref="H218:H219"/>
    <mergeCell ref="H222:H223"/>
    <mergeCell ref="H226:H227"/>
    <mergeCell ref="G79:G80"/>
    <mergeCell ref="F99:F100"/>
    <mergeCell ref="G83:G84"/>
    <mergeCell ref="G87:G88"/>
    <mergeCell ref="G91:G92"/>
    <mergeCell ref="G292:G293"/>
    <mergeCell ref="H209:H210"/>
    <mergeCell ref="F183:F184"/>
    <mergeCell ref="G183:G184"/>
    <mergeCell ref="F191:F192"/>
    <mergeCell ref="G191:G192"/>
    <mergeCell ref="F167:F168"/>
    <mergeCell ref="G167:G168"/>
    <mergeCell ref="F175:F176"/>
    <mergeCell ref="G175:G176"/>
    <mergeCell ref="I242:I243"/>
    <mergeCell ref="I26:I27"/>
    <mergeCell ref="F284:F285"/>
    <mergeCell ref="H246:H247"/>
    <mergeCell ref="H250:H251"/>
    <mergeCell ref="F260:F261"/>
    <mergeCell ref="F264:F265"/>
    <mergeCell ref="F107:F108"/>
    <mergeCell ref="G95:G96"/>
    <mergeCell ref="G99:G100"/>
    <mergeCell ref="G103:G104"/>
    <mergeCell ref="G107:G108"/>
    <mergeCell ref="F127:F128"/>
    <mergeCell ref="F95:F96"/>
    <mergeCell ref="F103:F104"/>
    <mergeCell ref="G143:G144"/>
    <mergeCell ref="F151:F152"/>
    <mergeCell ref="G151:G152"/>
    <mergeCell ref="F159:F160"/>
    <mergeCell ref="G159:G160"/>
    <mergeCell ref="G288:G289"/>
    <mergeCell ref="G268:G269"/>
    <mergeCell ref="G272:G273"/>
    <mergeCell ref="G276:G277"/>
    <mergeCell ref="G280:G281"/>
    <mergeCell ref="I209:I210"/>
    <mergeCell ref="I214:I215"/>
    <mergeCell ref="I218:I219"/>
    <mergeCell ref="I222:I223"/>
    <mergeCell ref="M8:O8"/>
    <mergeCell ref="M9:O9"/>
    <mergeCell ref="I246:I247"/>
    <mergeCell ref="I250:I251"/>
    <mergeCell ref="G260:G261"/>
    <mergeCell ref="I226:I227"/>
    <mergeCell ref="I230:I231"/>
    <mergeCell ref="I234:I235"/>
    <mergeCell ref="I238:I239"/>
    <mergeCell ref="H230:H231"/>
    <mergeCell ref="G119:G120"/>
    <mergeCell ref="H26:H27"/>
    <mergeCell ref="G8:G9"/>
    <mergeCell ref="G55:G56"/>
  </mergeCells>
  <phoneticPr fontId="0" type="noConversion"/>
  <pageMargins left="0.75" right="0.75" top="1" bottom="1" header="0.5" footer="0.5"/>
  <headerFooter alignWithMargins="0"/>
  <drawing r:id="rId1"/>
  <legacyDrawing r:id="rId2"/>
</worksheet>
</file>

<file path=xl/worksheets/sheet6.xml><?xml version="1.0" encoding="utf-8"?>
<worksheet xmlns="http://schemas.openxmlformats.org/spreadsheetml/2006/main" xmlns:r="http://schemas.openxmlformats.org/officeDocument/2006/relationships">
  <dimension ref="A1:Z70"/>
  <sheetViews>
    <sheetView workbookViewId="0"/>
  </sheetViews>
  <sheetFormatPr defaultRowHeight="15"/>
  <cols>
    <col min="1" max="1" width="0.875" customWidth="1"/>
    <col min="2" max="2" width="3.5" customWidth="1"/>
    <col min="3" max="37" width="4" customWidth="1"/>
  </cols>
  <sheetData>
    <row r="1" spans="1:26" s="18" customFormat="1" ht="48" customHeight="1">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s="18" customFormat="1" ht="19.5">
      <c r="A2" s="27"/>
      <c r="B2" s="27"/>
      <c r="C2" s="27"/>
      <c r="D2" s="27"/>
      <c r="E2" s="27"/>
      <c r="F2" s="27"/>
      <c r="G2" s="27"/>
      <c r="H2" s="27"/>
      <c r="I2" s="27"/>
      <c r="J2" s="27"/>
      <c r="K2" s="27"/>
      <c r="L2" s="27"/>
      <c r="M2" s="27"/>
      <c r="N2" s="27"/>
      <c r="O2" s="27"/>
      <c r="P2" s="27"/>
      <c r="Q2" s="27"/>
      <c r="R2" s="27"/>
      <c r="S2" s="27"/>
      <c r="T2" s="27"/>
      <c r="U2" s="27"/>
      <c r="V2" s="27"/>
      <c r="W2" s="27"/>
      <c r="X2" s="27"/>
      <c r="Y2" s="27"/>
      <c r="Z2" s="27"/>
    </row>
    <row r="3" spans="1:26" s="110" customFormat="1" ht="22.5">
      <c r="A3" s="25" t="s">
        <v>12</v>
      </c>
      <c r="B3" s="25"/>
      <c r="C3" s="25"/>
      <c r="D3" s="25"/>
      <c r="E3" s="25"/>
      <c r="F3" s="25"/>
      <c r="G3" s="25"/>
      <c r="H3" s="25"/>
      <c r="I3" s="25"/>
      <c r="J3" s="25"/>
      <c r="K3" s="25"/>
      <c r="L3" s="25"/>
      <c r="M3" s="25"/>
      <c r="N3" s="25"/>
      <c r="O3" s="25"/>
      <c r="P3" s="25"/>
      <c r="Q3" s="25"/>
      <c r="R3" s="25"/>
      <c r="S3" s="25"/>
      <c r="T3" s="25"/>
      <c r="U3" s="25"/>
      <c r="V3" s="25"/>
      <c r="W3" s="25"/>
      <c r="X3" s="25"/>
      <c r="Y3" s="25"/>
      <c r="Z3" s="25"/>
    </row>
    <row r="4" spans="1:26" s="18" customFormat="1" ht="22.5">
      <c r="A4" s="25" t="s">
        <v>13</v>
      </c>
      <c r="B4" s="27"/>
      <c r="C4" s="27"/>
      <c r="D4" s="27"/>
      <c r="E4" s="27"/>
      <c r="F4" s="27"/>
      <c r="G4" s="27"/>
      <c r="H4" s="27"/>
      <c r="I4" s="27"/>
      <c r="J4" s="27"/>
      <c r="K4" s="27"/>
      <c r="L4" s="27"/>
      <c r="M4" s="27"/>
      <c r="N4" s="27"/>
      <c r="O4" s="27"/>
      <c r="P4" s="27"/>
      <c r="Q4" s="27"/>
      <c r="R4" s="27"/>
      <c r="S4" s="27"/>
      <c r="T4" s="27"/>
      <c r="U4" s="27"/>
      <c r="V4" s="27"/>
      <c r="W4" s="27"/>
      <c r="X4" s="27"/>
      <c r="Y4" s="27"/>
      <c r="Z4" s="27"/>
    </row>
    <row r="5" spans="1:26" s="18" customFormat="1" ht="19.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6" ht="23.25" thickBot="1">
      <c r="A6" s="2"/>
      <c r="B6" s="2"/>
      <c r="C6" s="2"/>
      <c r="D6" s="2"/>
      <c r="E6" s="2"/>
      <c r="F6" s="2"/>
      <c r="G6" s="2"/>
      <c r="H6" s="2"/>
      <c r="I6" s="2"/>
      <c r="J6" s="2"/>
      <c r="K6" s="2"/>
      <c r="L6" s="2"/>
      <c r="M6" s="121">
        <v>1</v>
      </c>
      <c r="N6" s="2"/>
      <c r="O6" s="2"/>
      <c r="P6" s="2"/>
      <c r="Q6" s="2"/>
      <c r="R6" s="2"/>
      <c r="S6" s="2"/>
      <c r="T6" s="2"/>
      <c r="U6" s="2"/>
      <c r="V6" s="2"/>
      <c r="W6" s="2"/>
      <c r="X6" s="2"/>
      <c r="Y6" s="2"/>
      <c r="Z6" s="2"/>
    </row>
    <row r="7" spans="1:26" ht="23.25" thickTop="1">
      <c r="A7" s="2"/>
      <c r="B7" s="2"/>
      <c r="C7" s="2"/>
      <c r="D7" s="2"/>
      <c r="E7" s="2"/>
      <c r="F7" s="2"/>
      <c r="G7" s="2"/>
      <c r="H7" s="2"/>
      <c r="I7" s="2"/>
      <c r="J7" s="2"/>
      <c r="K7" s="2"/>
      <c r="L7" s="2"/>
      <c r="M7" s="122">
        <v>5</v>
      </c>
      <c r="N7" s="120">
        <f>M6/M7</f>
        <v>0.2</v>
      </c>
      <c r="O7" s="111">
        <v>3</v>
      </c>
      <c r="P7" s="111">
        <v>6</v>
      </c>
      <c r="Q7" s="111">
        <v>7</v>
      </c>
      <c r="R7" s="111">
        <v>8</v>
      </c>
      <c r="S7" s="111">
        <v>9</v>
      </c>
      <c r="T7" s="2"/>
      <c r="U7" s="2"/>
      <c r="V7" s="2"/>
      <c r="W7" s="2"/>
      <c r="X7" s="2"/>
      <c r="Y7" s="2"/>
      <c r="Z7" s="2"/>
    </row>
    <row r="8" spans="1:26" ht="9.75" customHeight="1">
      <c r="A8" s="2"/>
      <c r="B8" s="2"/>
      <c r="C8" s="27"/>
      <c r="D8" s="27"/>
      <c r="E8" s="27"/>
      <c r="F8" s="27"/>
      <c r="G8" s="27"/>
      <c r="H8" s="27"/>
      <c r="I8" s="27"/>
      <c r="J8" s="27"/>
      <c r="K8" s="27"/>
      <c r="L8" s="27"/>
      <c r="M8" s="27"/>
      <c r="N8" s="27"/>
      <c r="O8" s="27"/>
      <c r="P8" s="27"/>
      <c r="Q8" s="27"/>
      <c r="R8" s="27"/>
      <c r="S8" s="27"/>
      <c r="T8" s="27"/>
      <c r="U8" s="27"/>
      <c r="V8" s="27"/>
      <c r="W8" s="2"/>
      <c r="X8" s="2"/>
      <c r="Y8" s="2"/>
      <c r="Z8" s="2"/>
    </row>
    <row r="9" spans="1:26" ht="17.25" customHeight="1">
      <c r="A9" s="2"/>
      <c r="B9" s="2"/>
      <c r="C9" s="262" t="str">
        <f>IF(M6/M7=0.05,0.05,"")</f>
        <v/>
      </c>
      <c r="D9" s="262"/>
      <c r="E9" s="262" t="str">
        <f>IF(M6/M7=0.15,0.15,"")</f>
        <v/>
      </c>
      <c r="F9" s="262"/>
      <c r="G9" s="262" t="str">
        <f>IF(M6/M7=0.25,0.25,"")</f>
        <v/>
      </c>
      <c r="H9" s="262"/>
      <c r="I9" s="262" t="str">
        <f>IF(M6/M7=0.35,0.35,"")</f>
        <v/>
      </c>
      <c r="J9" s="262"/>
      <c r="K9" s="262" t="str">
        <f>IF(M6/M7=0.45,0.45,"")</f>
        <v/>
      </c>
      <c r="L9" s="262"/>
      <c r="M9" s="262" t="str">
        <f>IF(M6/M7=0.55,0.55,"")</f>
        <v/>
      </c>
      <c r="N9" s="262"/>
      <c r="O9" s="262" t="str">
        <f>IF(M6/M7=0.65,0.65,"")</f>
        <v/>
      </c>
      <c r="P9" s="262"/>
      <c r="Q9" s="262" t="str">
        <f>IF(M6/M7=0.75,0.75,"")</f>
        <v/>
      </c>
      <c r="R9" s="262"/>
      <c r="S9" s="262" t="str">
        <f>IF(M6/M7=0.85,0.85,"")</f>
        <v/>
      </c>
      <c r="T9" s="262"/>
      <c r="U9" s="262" t="str">
        <f>IF(M6/M7=0.95,0.95,"")</f>
        <v/>
      </c>
      <c r="V9" s="262"/>
      <c r="W9" s="2"/>
      <c r="X9" s="2"/>
      <c r="Y9" s="2"/>
      <c r="Z9" s="2"/>
    </row>
    <row r="10" spans="1:26" ht="24.75">
      <c r="A10" s="2"/>
      <c r="B10" s="263">
        <v>0</v>
      </c>
      <c r="C10" s="263"/>
      <c r="D10" s="264" t="str">
        <f>IF(M6/M7=0.1,0.1,"")</f>
        <v/>
      </c>
      <c r="E10" s="264"/>
      <c r="F10" s="264">
        <f>IF(M6/M7=0.2,0.2,"")</f>
        <v>0.2</v>
      </c>
      <c r="G10" s="264"/>
      <c r="H10" s="264" t="str">
        <f>IF(M6/M7=0.3,0.3,"")</f>
        <v/>
      </c>
      <c r="I10" s="264"/>
      <c r="J10" s="264" t="str">
        <f>IF(M6/M7=0.4,0.4,"")</f>
        <v/>
      </c>
      <c r="K10" s="264"/>
      <c r="L10" s="264" t="str">
        <f>IF(M6/M7=0.5,0.5,"")</f>
        <v/>
      </c>
      <c r="M10" s="264"/>
      <c r="N10" s="264" t="str">
        <f>IF(M6/M7=0.6,0.6,"")</f>
        <v/>
      </c>
      <c r="O10" s="264"/>
      <c r="P10" s="264" t="str">
        <f>IF(M6/M7=0.7,0.7,"")</f>
        <v/>
      </c>
      <c r="Q10" s="264"/>
      <c r="R10" s="264" t="str">
        <f>IF(M6/M7=0.8,0.8,"")</f>
        <v/>
      </c>
      <c r="S10" s="264"/>
      <c r="T10" s="264" t="str">
        <f>IF(M6/M7=0.9,0.9,"")</f>
        <v/>
      </c>
      <c r="U10" s="264"/>
      <c r="V10" s="263">
        <v>1</v>
      </c>
      <c r="W10" s="263"/>
      <c r="X10" s="2"/>
      <c r="Y10" s="2"/>
      <c r="Z10" s="2"/>
    </row>
    <row r="11" spans="1:26" ht="4.5" customHeight="1">
      <c r="A11" s="2"/>
      <c r="B11" s="2"/>
      <c r="C11" s="115" t="str">
        <f>IF(M6="","",IF(M7="","",IF(M6/M7=0.05,"J",IF(M6/M7&gt;0.05,"J",""))))</f>
        <v>J</v>
      </c>
      <c r="D11" s="116" t="str">
        <f>IF(M6="","",IF(M7="","",IF(M6/M7=0.1,"J",IF(M6/M7&gt;0.1,"J",""))))</f>
        <v>J</v>
      </c>
      <c r="E11" s="115" t="str">
        <f>IF(M6="","",IF(M7="","",IF(M6/M7=0.15,"J",IF(M6/M7&gt;0.15,"J",""))))</f>
        <v>J</v>
      </c>
      <c r="F11" s="116" t="str">
        <f>IF(M6="","",IF(M7="","",IF(M6/M7=0.2,"J",IF(M6/M7&gt;0.2,"J",""))))</f>
        <v>J</v>
      </c>
      <c r="G11" s="115" t="str">
        <f>IF(M6="","",IF(M7="","",IF(M6/M7=0.25,"J",IF(M6/M7&gt;0.25,"J",""))))</f>
        <v/>
      </c>
      <c r="H11" s="116" t="str">
        <f>IF(M6="","",IF(M7="","",IF(M6/M7=0.3,"J",IF(M6/M7&gt;0.3,"J",""))))</f>
        <v/>
      </c>
      <c r="I11" s="115" t="str">
        <f>IF(M6="","",IF(M7="","",IF(M6/M7=0.35,"J",IF(M6/M7&gt;0.35,"J",""))))</f>
        <v/>
      </c>
      <c r="J11" s="116" t="str">
        <f>IF(M6="","",IF(M7="","",IF(M6/M7=0.4,"J",IF(M6/M7&gt;0.4,"J",""))))</f>
        <v/>
      </c>
      <c r="K11" s="115" t="str">
        <f>IF(M6="","",IF(M7="","",IF(M6/M7=0.45,"J",IF(M6/M7&gt;0.45,"J",""))))</f>
        <v/>
      </c>
      <c r="L11" s="116" t="str">
        <f>IF(M6="","",IF(M7="","",IF(M6/M7=0.5,"J",IF(M6/M7&gt;0.5,"J",""))))</f>
        <v/>
      </c>
      <c r="M11" s="115" t="str">
        <f>IF(M6="","",IF(M7="","",IF(M6/M7=0.55,"J",IF(M6/M7&gt;0.55,"J",""))))</f>
        <v/>
      </c>
      <c r="N11" s="116" t="str">
        <f>IF(M6="","",IF(M7="","",IF(M6/M7=0.6,"J",IF(M6/M7&gt;0.6,"J",""))))</f>
        <v/>
      </c>
      <c r="O11" s="115" t="str">
        <f>IF(M6="","",IF(M7="","",IF(M6/M7=0.65,"J",IF(M6/M7&gt;0.65,"J",""))))</f>
        <v/>
      </c>
      <c r="P11" s="116" t="str">
        <f>IF(M6="","",IF(M7="","",IF(M6/M7=0.7,"J",IF(M6/M7&gt;0.7,"J",""))))</f>
        <v/>
      </c>
      <c r="Q11" s="115" t="str">
        <f>IF(M6="","",IF(M7="","",IF(M6/M7=0.75,"J",IF(M6/M7&gt;0.75,"J",""))))</f>
        <v/>
      </c>
      <c r="R11" s="116" t="str">
        <f>IF(M6="","",IF(M7="","",IF(M6/M7=0.8,"J",IF(M6/M7&gt;0.8,"J",""))))</f>
        <v/>
      </c>
      <c r="S11" s="115" t="str">
        <f>IF(M6="","",IF(M7="","",IF(M6/M7=0.85,"J",IF(M6/M7&gt;0.85,"J",""))))</f>
        <v/>
      </c>
      <c r="T11" s="116" t="str">
        <f>IF(M6="","",IF(M7="","",IF(M6/M7=0.9,"J",IF(M6/M7&gt;0.9,"J",""))))</f>
        <v/>
      </c>
      <c r="U11" s="115" t="str">
        <f>IF(M6="","",IF(M7="","",IF(M6/M7=0.95,"J",IF(M6/M7&gt;0.95,"J",""))))</f>
        <v/>
      </c>
      <c r="V11" s="116" t="str">
        <f>IF(M6="","",IF(M7="","",IF(M6/M7=1,"J",IF(M6/M7&gt;1,"J",""))))</f>
        <v/>
      </c>
      <c r="W11" s="2"/>
      <c r="X11" s="2"/>
      <c r="Y11" s="2"/>
      <c r="Z11" s="2"/>
    </row>
    <row r="12" spans="1:26">
      <c r="A12" s="2"/>
      <c r="B12" s="114"/>
      <c r="C12" s="117"/>
      <c r="D12" s="118"/>
      <c r="E12" s="117"/>
      <c r="F12" s="117"/>
      <c r="G12" s="117"/>
      <c r="H12" s="117"/>
      <c r="I12" s="117"/>
      <c r="J12" s="117"/>
      <c r="K12" s="117"/>
      <c r="L12" s="117"/>
      <c r="M12" s="117"/>
      <c r="N12" s="119"/>
      <c r="O12" s="119"/>
      <c r="P12" s="119"/>
      <c r="Q12" s="119"/>
      <c r="R12" s="119"/>
      <c r="S12" s="119"/>
      <c r="T12" s="119"/>
      <c r="U12" s="119"/>
      <c r="V12" s="119"/>
      <c r="W12" s="2"/>
      <c r="X12" s="2"/>
      <c r="Y12" s="2"/>
      <c r="Z12" s="2"/>
    </row>
    <row r="13" spans="1:26" ht="24.75">
      <c r="A13" s="2"/>
      <c r="B13" s="2"/>
      <c r="C13" s="134"/>
      <c r="D13" s="268" t="str">
        <f>IF(N7=0.1,"10%","")</f>
        <v/>
      </c>
      <c r="E13" s="268"/>
      <c r="F13" s="268" t="str">
        <f>IF(N7=0.2,"20%","")</f>
        <v>20%</v>
      </c>
      <c r="G13" s="268"/>
      <c r="H13" s="268" t="str">
        <f>IF(N7=0.3,"30%","")</f>
        <v/>
      </c>
      <c r="I13" s="268"/>
      <c r="J13" s="268" t="str">
        <f>IF(N7=0.4,"40%","")</f>
        <v/>
      </c>
      <c r="K13" s="268"/>
      <c r="L13" s="268" t="str">
        <f>IF(N7=0.5,"50%","")</f>
        <v/>
      </c>
      <c r="M13" s="268"/>
      <c r="N13" s="268" t="str">
        <f>IF(N7=0.6,"60%","")</f>
        <v/>
      </c>
      <c r="O13" s="268"/>
      <c r="P13" s="268" t="str">
        <f>IF(N7=0.7,"70%","")</f>
        <v/>
      </c>
      <c r="Q13" s="268"/>
      <c r="R13" s="268" t="str">
        <f>IF(N7=0.8,"80%","")</f>
        <v/>
      </c>
      <c r="S13" s="268"/>
      <c r="T13" s="268" t="str">
        <f>IF(N7=0.9,"90%","")</f>
        <v/>
      </c>
      <c r="U13" s="268"/>
      <c r="V13" s="268" t="str">
        <f>IF(N7=1,"100%","")</f>
        <v/>
      </c>
      <c r="W13" s="268"/>
      <c r="X13" s="2"/>
      <c r="Y13" s="2"/>
      <c r="Z13" s="2"/>
    </row>
    <row r="14" spans="1:26" ht="19.5">
      <c r="A14" s="2"/>
      <c r="B14" s="2"/>
      <c r="C14" s="262" t="str">
        <f>IF(N7=0.05,"5%","")</f>
        <v/>
      </c>
      <c r="D14" s="262"/>
      <c r="E14" s="262" t="str">
        <f>IF(N7=0.15,"15%","")</f>
        <v/>
      </c>
      <c r="F14" s="262"/>
      <c r="G14" s="262" t="str">
        <f>IF(N7=0.25,"25%","")</f>
        <v/>
      </c>
      <c r="H14" s="262"/>
      <c r="I14" s="262" t="str">
        <f>IF(N7=0.35,"35%","")</f>
        <v/>
      </c>
      <c r="J14" s="262"/>
      <c r="K14" s="262" t="str">
        <f>IF(N7=0.45,"45%","")</f>
        <v/>
      </c>
      <c r="L14" s="262"/>
      <c r="M14" s="262" t="str">
        <f>IF(N7=0.55,"55%","")</f>
        <v/>
      </c>
      <c r="N14" s="262"/>
      <c r="O14" s="262" t="str">
        <f>IF(N7=0.65,"65%","")</f>
        <v/>
      </c>
      <c r="P14" s="262"/>
      <c r="Q14" s="262" t="str">
        <f>IF(N7=0.75,"75%","")</f>
        <v/>
      </c>
      <c r="R14" s="262"/>
      <c r="S14" s="262" t="str">
        <f>IF(N7=0.85,"85%","")</f>
        <v/>
      </c>
      <c r="T14" s="262"/>
      <c r="U14" s="262" t="str">
        <f>IF(N7=0.95,"95%","")</f>
        <v/>
      </c>
      <c r="V14" s="262"/>
      <c r="W14" s="27"/>
      <c r="X14" s="2"/>
      <c r="Y14" s="2"/>
      <c r="Z14" s="2"/>
    </row>
    <row r="15" spans="1:26" ht="19.5">
      <c r="A15" s="2"/>
      <c r="B15" s="2"/>
      <c r="C15" s="27"/>
      <c r="D15" s="27"/>
      <c r="E15" s="27"/>
      <c r="F15" s="27"/>
      <c r="G15" s="27"/>
      <c r="H15" s="27"/>
      <c r="I15" s="27"/>
      <c r="J15" s="27"/>
      <c r="K15" s="27"/>
      <c r="L15" s="27"/>
      <c r="M15" s="27"/>
      <c r="N15" s="27"/>
      <c r="O15" s="27"/>
      <c r="P15" s="27"/>
      <c r="Q15" s="27"/>
      <c r="R15" s="27"/>
      <c r="S15" s="27"/>
      <c r="T15" s="27"/>
      <c r="U15" s="27"/>
      <c r="V15" s="27"/>
      <c r="W15" s="27"/>
      <c r="X15" s="2"/>
      <c r="Y15" s="2"/>
      <c r="Z15" s="2"/>
    </row>
    <row r="16" spans="1:26">
      <c r="A16" s="123"/>
      <c r="B16" s="123"/>
      <c r="C16" s="123"/>
      <c r="D16" s="123"/>
      <c r="E16" s="123"/>
      <c r="F16" s="123"/>
      <c r="G16" s="123"/>
      <c r="H16" s="123"/>
      <c r="I16" s="123"/>
      <c r="J16" s="123"/>
      <c r="K16" s="175"/>
      <c r="L16" s="123"/>
      <c r="M16" s="123"/>
      <c r="N16" s="123"/>
      <c r="O16" s="123"/>
      <c r="P16" s="123"/>
      <c r="Q16" s="123"/>
      <c r="R16" s="123"/>
      <c r="S16" s="123"/>
      <c r="T16" s="123"/>
      <c r="U16" s="123"/>
      <c r="V16" s="123"/>
      <c r="W16" s="123"/>
      <c r="X16" s="123"/>
      <c r="Y16" s="123"/>
      <c r="Z16" s="123"/>
    </row>
    <row r="17" spans="1:26" s="110" customFormat="1" ht="2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s="110" customFormat="1" ht="8.25" customHeight="1">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s="110" customFormat="1" ht="22.5" hidden="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s="110" customFormat="1" ht="22.5">
      <c r="A20" s="25"/>
      <c r="B20" s="25" t="s">
        <v>39</v>
      </c>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s="110" customFormat="1" ht="22.5">
      <c r="A21" s="25"/>
      <c r="B21" s="25" t="s">
        <v>40</v>
      </c>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23.25" thickBot="1">
      <c r="A22" s="2"/>
      <c r="B22" s="2"/>
      <c r="C22" s="2"/>
      <c r="D22" s="2"/>
      <c r="E22" s="2"/>
      <c r="F22" s="267"/>
      <c r="G22" s="267"/>
      <c r="H22" s="265" t="str">
        <f>IF(F22="","",IF(F23="","",IF(F22/F23=F26,"J","L")))</f>
        <v/>
      </c>
      <c r="I22" s="2"/>
      <c r="J22" s="267"/>
      <c r="K22" s="267"/>
      <c r="L22" s="265" t="str">
        <f>IF(J22="","",IF(J23="","",IF(J22/J23=J26,"J","L")))</f>
        <v/>
      </c>
      <c r="M22" s="2"/>
      <c r="N22" s="267"/>
      <c r="O22" s="267"/>
      <c r="P22" s="265" t="str">
        <f>IF(N22="","",IF(N23="","",IF(N22/N23=N26,"J","L")))</f>
        <v/>
      </c>
      <c r="Q22" s="2"/>
      <c r="R22" s="267"/>
      <c r="S22" s="267"/>
      <c r="T22" s="265" t="str">
        <f>IF(R22="","",IF(R23="","",IF(R22/R23=R26,"J","L")))</f>
        <v/>
      </c>
      <c r="U22" s="2"/>
      <c r="V22" s="267"/>
      <c r="W22" s="267"/>
      <c r="X22" s="265" t="str">
        <f>IF(V22="","",IF(V23="","",IF(V22/V23=V26,"J","L")))</f>
        <v/>
      </c>
      <c r="Y22" s="2"/>
      <c r="Z22" s="2"/>
    </row>
    <row r="23" spans="1:26" ht="23.25" thickTop="1">
      <c r="A23" s="2"/>
      <c r="B23" s="2"/>
      <c r="C23" s="2"/>
      <c r="D23" s="2"/>
      <c r="E23" s="2"/>
      <c r="F23" s="266"/>
      <c r="G23" s="266"/>
      <c r="H23" s="265"/>
      <c r="I23" s="2"/>
      <c r="J23" s="266"/>
      <c r="K23" s="266"/>
      <c r="L23" s="265"/>
      <c r="M23" s="2"/>
      <c r="N23" s="266"/>
      <c r="O23" s="266"/>
      <c r="P23" s="265"/>
      <c r="Q23" s="111"/>
      <c r="R23" s="266"/>
      <c r="S23" s="266"/>
      <c r="T23" s="265"/>
      <c r="U23" s="2"/>
      <c r="V23" s="266"/>
      <c r="W23" s="266"/>
      <c r="X23" s="265"/>
      <c r="Y23" s="2"/>
      <c r="Z23" s="2"/>
    </row>
    <row r="24" spans="1:26" ht="9.75" customHeight="1">
      <c r="A24" s="2"/>
      <c r="B24" s="2"/>
      <c r="C24" s="27"/>
      <c r="D24" s="27"/>
      <c r="E24" s="27"/>
      <c r="F24" s="27"/>
      <c r="G24" s="27"/>
      <c r="H24" s="27"/>
      <c r="I24" s="27"/>
      <c r="J24" s="27"/>
      <c r="K24" s="27"/>
      <c r="L24" s="27"/>
      <c r="M24" s="27"/>
      <c r="N24" s="27"/>
      <c r="O24" s="27"/>
      <c r="P24" s="27"/>
      <c r="Q24" s="27"/>
      <c r="R24" s="27"/>
      <c r="S24" s="27"/>
      <c r="T24" s="27"/>
      <c r="U24" s="27"/>
      <c r="V24" s="27"/>
      <c r="W24" s="2"/>
      <c r="X24" s="2"/>
      <c r="Y24" s="2"/>
      <c r="Z24" s="2"/>
    </row>
    <row r="25" spans="1:26" ht="17.25" customHeight="1">
      <c r="A25" s="2"/>
      <c r="B25" s="2"/>
      <c r="C25" s="262"/>
      <c r="D25" s="262"/>
      <c r="E25" s="262"/>
      <c r="F25" s="262"/>
      <c r="G25" s="262"/>
      <c r="H25" s="262"/>
      <c r="I25" s="262"/>
      <c r="J25" s="262"/>
      <c r="K25" s="262"/>
      <c r="L25" s="262"/>
      <c r="M25" s="262"/>
      <c r="N25" s="262"/>
      <c r="O25" s="262"/>
      <c r="P25" s="262"/>
      <c r="Q25" s="262"/>
      <c r="R25" s="262"/>
      <c r="S25" s="262"/>
      <c r="T25" s="262"/>
      <c r="U25" s="262"/>
      <c r="V25" s="262"/>
      <c r="W25" s="2"/>
      <c r="X25" s="2"/>
      <c r="Y25" s="2"/>
      <c r="Z25" s="2"/>
    </row>
    <row r="26" spans="1:26" ht="24.75">
      <c r="A26" s="2"/>
      <c r="B26" s="263">
        <v>0</v>
      </c>
      <c r="C26" s="263"/>
      <c r="D26" s="264"/>
      <c r="E26" s="264"/>
      <c r="F26" s="264">
        <v>0.2</v>
      </c>
      <c r="G26" s="264"/>
      <c r="H26" s="264"/>
      <c r="I26" s="264"/>
      <c r="J26" s="264">
        <v>0.4</v>
      </c>
      <c r="K26" s="264"/>
      <c r="L26" s="264"/>
      <c r="M26" s="264"/>
      <c r="N26" s="264">
        <v>0.6</v>
      </c>
      <c r="O26" s="264"/>
      <c r="P26" s="264"/>
      <c r="Q26" s="264"/>
      <c r="R26" s="264">
        <v>0.8</v>
      </c>
      <c r="S26" s="264"/>
      <c r="T26" s="264"/>
      <c r="U26" s="264"/>
      <c r="V26" s="263">
        <v>1</v>
      </c>
      <c r="W26" s="263"/>
      <c r="X26" s="2"/>
      <c r="Y26" s="2"/>
      <c r="Z26" s="2"/>
    </row>
    <row r="27" spans="1:26" ht="12.75" customHeight="1">
      <c r="A27" s="2"/>
      <c r="B27" s="2"/>
      <c r="C27" s="136"/>
      <c r="D27" s="116"/>
      <c r="E27" s="115"/>
      <c r="F27" s="116"/>
      <c r="G27" s="115"/>
      <c r="H27" s="116"/>
      <c r="I27" s="115"/>
      <c r="J27" s="116"/>
      <c r="K27" s="115"/>
      <c r="L27" s="116"/>
      <c r="M27" s="115"/>
      <c r="N27" s="116"/>
      <c r="O27" s="115"/>
      <c r="P27" s="116"/>
      <c r="Q27" s="115"/>
      <c r="R27" s="116"/>
      <c r="S27" s="115"/>
      <c r="T27" s="116"/>
      <c r="U27" s="115"/>
      <c r="V27" s="116"/>
      <c r="W27" s="2"/>
      <c r="X27" s="2"/>
      <c r="Y27" s="2"/>
      <c r="Z27" s="2"/>
    </row>
    <row r="28" spans="1:26" ht="14.25" customHeight="1">
      <c r="A28" s="2"/>
      <c r="B28" s="114"/>
      <c r="C28" s="118"/>
      <c r="D28" s="119"/>
      <c r="E28" s="118"/>
      <c r="F28" s="119"/>
      <c r="G28" s="118"/>
      <c r="H28" s="119"/>
      <c r="I28" s="118"/>
      <c r="J28" s="119"/>
      <c r="K28" s="118"/>
      <c r="L28" s="119"/>
      <c r="M28" s="118"/>
      <c r="N28" s="119"/>
      <c r="O28" s="118"/>
      <c r="P28" s="119"/>
      <c r="Q28" s="118"/>
      <c r="R28" s="119"/>
      <c r="S28" s="118"/>
      <c r="T28" s="119"/>
      <c r="U28" s="118"/>
      <c r="V28" s="119"/>
      <c r="W28" s="2"/>
      <c r="X28" s="2"/>
      <c r="Y28" s="2"/>
      <c r="Z28" s="2"/>
    </row>
    <row r="29" spans="1:26" ht="23.25" customHeight="1">
      <c r="A29" s="2"/>
      <c r="B29" s="114"/>
      <c r="C29" s="135"/>
      <c r="D29" s="135"/>
      <c r="E29" s="135"/>
      <c r="F29" s="135"/>
      <c r="G29" s="135"/>
      <c r="H29" s="135"/>
      <c r="I29" s="135"/>
      <c r="J29" s="135"/>
      <c r="K29" s="135"/>
      <c r="L29" s="135"/>
      <c r="M29" s="135"/>
      <c r="N29" s="135"/>
      <c r="O29" s="135"/>
      <c r="P29" s="135"/>
      <c r="Q29" s="135"/>
      <c r="R29" s="135"/>
      <c r="S29" s="135"/>
      <c r="T29" s="135"/>
      <c r="U29" s="135"/>
      <c r="V29" s="135"/>
      <c r="W29" s="2"/>
      <c r="X29" s="2"/>
      <c r="Y29" s="2"/>
      <c r="Z29" s="2"/>
    </row>
    <row r="30" spans="1:26" ht="24.75">
      <c r="A30" s="2"/>
      <c r="B30" s="2"/>
      <c r="C30" s="134"/>
      <c r="D30" s="256"/>
      <c r="E30" s="256"/>
      <c r="F30" s="257" t="str">
        <f>IF(D30="","",IF(D30=0.1,"J","L"))</f>
        <v/>
      </c>
      <c r="G30" s="257"/>
      <c r="H30" s="256"/>
      <c r="I30" s="256"/>
      <c r="J30" s="257" t="str">
        <f>IF(H30="","",IF(H30=0.3,"J","L"))</f>
        <v/>
      </c>
      <c r="K30" s="257"/>
      <c r="L30" s="256"/>
      <c r="M30" s="256"/>
      <c r="N30" s="257" t="str">
        <f>IF(L30="","",IF(L30=0.5,"J","L"))</f>
        <v/>
      </c>
      <c r="O30" s="257"/>
      <c r="P30" s="256"/>
      <c r="Q30" s="256"/>
      <c r="R30" s="257" t="str">
        <f>IF(P30="","",IF(P30=0.7,"J","L"))</f>
        <v/>
      </c>
      <c r="S30" s="257"/>
      <c r="T30" s="256"/>
      <c r="U30" s="256"/>
      <c r="V30" s="257" t="str">
        <f>IF(T30="","",IF(T30=0.9,"J","L"))</f>
        <v/>
      </c>
      <c r="W30" s="257"/>
      <c r="X30" s="2"/>
      <c r="Y30" s="2"/>
      <c r="Z30" s="2"/>
    </row>
    <row r="31" spans="1:26" ht="23.25" thickBot="1">
      <c r="A31" s="2"/>
      <c r="B31" s="2"/>
      <c r="C31" s="25"/>
      <c r="D31" s="258">
        <v>1</v>
      </c>
      <c r="E31" s="258"/>
      <c r="F31" s="25"/>
      <c r="G31" s="25"/>
      <c r="H31" s="258">
        <v>3</v>
      </c>
      <c r="I31" s="258"/>
      <c r="J31" s="25"/>
      <c r="K31" s="25"/>
      <c r="L31" s="258">
        <v>5</v>
      </c>
      <c r="M31" s="258"/>
      <c r="N31" s="25"/>
      <c r="O31" s="25"/>
      <c r="P31" s="258">
        <v>7</v>
      </c>
      <c r="Q31" s="258"/>
      <c r="R31" s="25"/>
      <c r="S31" s="25"/>
      <c r="T31" s="258">
        <v>9</v>
      </c>
      <c r="U31" s="258"/>
      <c r="V31" s="25"/>
      <c r="W31" s="27"/>
      <c r="X31" s="2"/>
      <c r="Y31" s="2"/>
      <c r="Z31" s="2"/>
    </row>
    <row r="32" spans="1:26" s="110" customFormat="1" ht="23.25" thickTop="1">
      <c r="A32" s="25"/>
      <c r="B32" s="25"/>
      <c r="C32" s="25"/>
      <c r="D32" s="260">
        <v>10</v>
      </c>
      <c r="E32" s="260"/>
      <c r="F32" s="25"/>
      <c r="G32" s="25"/>
      <c r="H32" s="260">
        <v>10</v>
      </c>
      <c r="I32" s="260"/>
      <c r="J32" s="25"/>
      <c r="K32" s="25"/>
      <c r="L32" s="260">
        <v>10</v>
      </c>
      <c r="M32" s="260"/>
      <c r="N32" s="25"/>
      <c r="O32" s="25"/>
      <c r="P32" s="260">
        <v>10</v>
      </c>
      <c r="Q32" s="260"/>
      <c r="R32" s="25"/>
      <c r="S32" s="25"/>
      <c r="T32" s="260">
        <v>10</v>
      </c>
      <c r="U32" s="260"/>
      <c r="V32" s="25"/>
      <c r="W32" s="25"/>
      <c r="X32" s="25"/>
      <c r="Y32" s="25"/>
      <c r="Z32" s="25"/>
    </row>
    <row r="33" spans="1:26" s="110" customFormat="1" ht="30" customHeight="1">
      <c r="A33" s="25"/>
      <c r="B33" s="25"/>
      <c r="C33" s="25"/>
      <c r="D33" s="25"/>
      <c r="E33" s="25"/>
      <c r="F33" s="25"/>
      <c r="G33" s="261">
        <f>COUNTIF(B22:X30,"j")</f>
        <v>0</v>
      </c>
      <c r="H33" s="261"/>
      <c r="I33" s="259" t="s">
        <v>105</v>
      </c>
      <c r="J33" s="259"/>
      <c r="K33" s="259"/>
      <c r="L33" s="259"/>
      <c r="M33" s="259"/>
      <c r="N33" s="259"/>
      <c r="O33" s="25"/>
      <c r="P33" s="25"/>
      <c r="Q33" s="25"/>
      <c r="R33" s="25"/>
      <c r="S33" s="25"/>
      <c r="T33" s="25"/>
      <c r="U33" s="25"/>
      <c r="V33" s="25"/>
      <c r="W33" s="25"/>
      <c r="X33" s="25"/>
      <c r="Y33" s="25"/>
      <c r="Z33" s="25"/>
    </row>
    <row r="34" spans="1:26" s="110" customFormat="1" ht="20.25" customHeight="1">
      <c r="A34" s="25"/>
      <c r="B34" s="25"/>
      <c r="C34" s="25"/>
      <c r="D34" s="25"/>
      <c r="E34" s="25"/>
      <c r="F34" s="25"/>
      <c r="G34" s="261"/>
      <c r="H34" s="261"/>
      <c r="I34" s="259"/>
      <c r="J34" s="259"/>
      <c r="K34" s="259"/>
      <c r="L34" s="259"/>
      <c r="M34" s="259"/>
      <c r="N34" s="259"/>
      <c r="O34" s="25"/>
      <c r="P34" s="25"/>
      <c r="Q34" s="25"/>
      <c r="R34" s="25"/>
      <c r="S34" s="25"/>
      <c r="T34" s="25"/>
      <c r="U34" s="25"/>
      <c r="V34" s="25"/>
      <c r="W34" s="25"/>
      <c r="X34" s="25"/>
      <c r="Y34" s="25"/>
      <c r="Z34" s="25"/>
    </row>
    <row r="35" spans="1:26" s="110" customFormat="1" ht="2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s="110" customFormat="1" ht="22.5">
      <c r="A36" s="25"/>
      <c r="B36" s="25" t="s">
        <v>39</v>
      </c>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s="110" customFormat="1" ht="22.5">
      <c r="A37" s="25"/>
      <c r="B37" s="25" t="s">
        <v>40</v>
      </c>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23.25" thickBot="1">
      <c r="A38" s="2"/>
      <c r="B38" s="2"/>
      <c r="C38" s="2"/>
      <c r="D38" s="2"/>
      <c r="E38" s="2"/>
      <c r="F38" s="267"/>
      <c r="G38" s="267"/>
      <c r="H38" s="265" t="str">
        <f>IF(F38="","",IF(F39="","",IF(F38/F39=F42,"J","L")))</f>
        <v/>
      </c>
      <c r="I38" s="2"/>
      <c r="J38" s="267"/>
      <c r="K38" s="267"/>
      <c r="L38" s="265" t="str">
        <f>IF(J38="","",IF(J39="","",IF(J38/J39=J42,"J","L")))</f>
        <v/>
      </c>
      <c r="M38" s="2"/>
      <c r="N38" s="267"/>
      <c r="O38" s="267"/>
      <c r="P38" s="265" t="str">
        <f>IF(N38="","",IF(N39="","",IF(N38/N39=N42,"J","L")))</f>
        <v/>
      </c>
      <c r="Q38" s="2"/>
      <c r="R38" s="267"/>
      <c r="S38" s="267"/>
      <c r="T38" s="265" t="str">
        <f>IF(R38="","",IF(R39="","",IF(R38/R39=R42,"J","L")))</f>
        <v/>
      </c>
      <c r="U38" s="2"/>
      <c r="V38" s="267"/>
      <c r="W38" s="267"/>
      <c r="X38" s="265" t="str">
        <f>IF(V38="","",IF(V39="","",IF(V38/V39=V42,"J","L")))</f>
        <v/>
      </c>
      <c r="Y38" s="2"/>
      <c r="Z38" s="2"/>
    </row>
    <row r="39" spans="1:26" ht="23.25" thickTop="1">
      <c r="A39" s="2"/>
      <c r="B39" s="2"/>
      <c r="C39" s="2"/>
      <c r="D39" s="2"/>
      <c r="E39" s="2"/>
      <c r="F39" s="266"/>
      <c r="G39" s="266"/>
      <c r="H39" s="265"/>
      <c r="I39" s="2"/>
      <c r="J39" s="266"/>
      <c r="K39" s="266"/>
      <c r="L39" s="265"/>
      <c r="M39" s="2"/>
      <c r="N39" s="266"/>
      <c r="O39" s="266"/>
      <c r="P39" s="265"/>
      <c r="Q39" s="111"/>
      <c r="R39" s="266"/>
      <c r="S39" s="266"/>
      <c r="T39" s="265"/>
      <c r="U39" s="2"/>
      <c r="V39" s="266"/>
      <c r="W39" s="266"/>
      <c r="X39" s="265"/>
      <c r="Y39" s="2"/>
      <c r="Z39" s="2"/>
    </row>
    <row r="40" spans="1:26" ht="9.75" customHeight="1">
      <c r="A40" s="2"/>
      <c r="B40" s="2"/>
      <c r="C40" s="27"/>
      <c r="D40" s="27"/>
      <c r="E40" s="27"/>
      <c r="F40" s="27"/>
      <c r="G40" s="27"/>
      <c r="H40" s="27"/>
      <c r="I40" s="27"/>
      <c r="J40" s="27"/>
      <c r="K40" s="27"/>
      <c r="L40" s="27"/>
      <c r="M40" s="27"/>
      <c r="N40" s="27"/>
      <c r="O40" s="27"/>
      <c r="P40" s="27"/>
      <c r="Q40" s="27"/>
      <c r="R40" s="27"/>
      <c r="S40" s="27"/>
      <c r="T40" s="27"/>
      <c r="U40" s="27"/>
      <c r="V40" s="27"/>
      <c r="W40" s="2"/>
      <c r="X40" s="2"/>
      <c r="Y40" s="2"/>
      <c r="Z40" s="2"/>
    </row>
    <row r="41" spans="1:26" ht="17.25" customHeight="1">
      <c r="A41" s="2"/>
      <c r="B41" s="2"/>
      <c r="C41" s="262"/>
      <c r="D41" s="262"/>
      <c r="E41" s="262"/>
      <c r="F41" s="262"/>
      <c r="G41" s="262"/>
      <c r="H41" s="262"/>
      <c r="I41" s="262"/>
      <c r="J41" s="262"/>
      <c r="K41" s="262"/>
      <c r="L41" s="262"/>
      <c r="M41" s="262"/>
      <c r="N41" s="262"/>
      <c r="O41" s="262"/>
      <c r="P41" s="262"/>
      <c r="Q41" s="262"/>
      <c r="R41" s="262"/>
      <c r="S41" s="262"/>
      <c r="T41" s="262"/>
      <c r="U41" s="262"/>
      <c r="V41" s="262"/>
      <c r="W41" s="2"/>
      <c r="X41" s="2"/>
      <c r="Y41" s="2"/>
      <c r="Z41" s="2"/>
    </row>
    <row r="42" spans="1:26" ht="24.75">
      <c r="A42" s="2"/>
      <c r="B42" s="263">
        <v>0</v>
      </c>
      <c r="C42" s="263"/>
      <c r="D42" s="264"/>
      <c r="E42" s="264"/>
      <c r="F42" s="264">
        <v>0.2</v>
      </c>
      <c r="G42" s="264"/>
      <c r="H42" s="264"/>
      <c r="I42" s="264"/>
      <c r="J42" s="264">
        <v>0.4</v>
      </c>
      <c r="K42" s="264"/>
      <c r="L42" s="264"/>
      <c r="M42" s="264"/>
      <c r="N42" s="264">
        <v>0.6</v>
      </c>
      <c r="O42" s="264"/>
      <c r="P42" s="264"/>
      <c r="Q42" s="264"/>
      <c r="R42" s="264">
        <v>0.8</v>
      </c>
      <c r="S42" s="264"/>
      <c r="T42" s="264"/>
      <c r="U42" s="264"/>
      <c r="V42" s="263">
        <v>1</v>
      </c>
      <c r="W42" s="263"/>
      <c r="X42" s="2"/>
      <c r="Y42" s="2"/>
      <c r="Z42" s="2"/>
    </row>
    <row r="43" spans="1:26">
      <c r="A43" s="2"/>
      <c r="B43" s="2"/>
      <c r="C43" s="136"/>
      <c r="D43" s="116"/>
      <c r="E43" s="115"/>
      <c r="F43" s="116"/>
      <c r="G43" s="115"/>
      <c r="H43" s="116"/>
      <c r="I43" s="115"/>
      <c r="J43" s="116"/>
      <c r="K43" s="115"/>
      <c r="L43" s="116"/>
      <c r="M43" s="115"/>
      <c r="N43" s="116"/>
      <c r="O43" s="115"/>
      <c r="P43" s="116"/>
      <c r="Q43" s="115"/>
      <c r="R43" s="116"/>
      <c r="S43" s="115"/>
      <c r="T43" s="116"/>
      <c r="U43" s="115"/>
      <c r="V43" s="116"/>
      <c r="W43" s="2"/>
      <c r="X43" s="2"/>
      <c r="Y43" s="2"/>
      <c r="Z43" s="2"/>
    </row>
    <row r="44" spans="1:26">
      <c r="A44" s="2"/>
      <c r="B44" s="114"/>
      <c r="C44" s="117"/>
      <c r="D44" s="118"/>
      <c r="E44" s="117"/>
      <c r="F44" s="117"/>
      <c r="G44" s="117"/>
      <c r="H44" s="117"/>
      <c r="I44" s="117"/>
      <c r="J44" s="117"/>
      <c r="K44" s="117"/>
      <c r="L44" s="117"/>
      <c r="M44" s="117"/>
      <c r="N44" s="119"/>
      <c r="O44" s="119"/>
      <c r="P44" s="119"/>
      <c r="Q44" s="119"/>
      <c r="R44" s="119"/>
      <c r="S44" s="119"/>
      <c r="T44" s="119"/>
      <c r="U44" s="119"/>
      <c r="V44" s="119"/>
      <c r="W44" s="2"/>
      <c r="X44" s="2"/>
      <c r="Y44" s="2"/>
      <c r="Z44" s="2"/>
    </row>
    <row r="45" spans="1:26" ht="23.25" customHeight="1">
      <c r="A45" s="2"/>
      <c r="B45" s="114"/>
      <c r="C45" s="135"/>
      <c r="D45" s="135"/>
      <c r="E45" s="135"/>
      <c r="F45" s="135"/>
      <c r="G45" s="135"/>
      <c r="H45" s="135"/>
      <c r="I45" s="135"/>
      <c r="J45" s="135"/>
      <c r="K45" s="135"/>
      <c r="L45" s="135"/>
      <c r="M45" s="135"/>
      <c r="N45" s="135"/>
      <c r="O45" s="135"/>
      <c r="P45" s="135"/>
      <c r="Q45" s="135"/>
      <c r="R45" s="135"/>
      <c r="S45" s="135"/>
      <c r="T45" s="135"/>
      <c r="U45" s="135"/>
      <c r="V45" s="135"/>
      <c r="W45" s="2"/>
      <c r="X45" s="2"/>
      <c r="Y45" s="2"/>
      <c r="Z45" s="2"/>
    </row>
    <row r="46" spans="1:26" ht="24.75">
      <c r="A46" s="2"/>
      <c r="B46" s="2"/>
      <c r="C46" s="134"/>
      <c r="D46" s="256"/>
      <c r="E46" s="256"/>
      <c r="F46" s="257" t="str">
        <f>IF(D46="","",IF(D46=0.1,"J","L"))</f>
        <v/>
      </c>
      <c r="G46" s="257"/>
      <c r="H46" s="256"/>
      <c r="I46" s="256"/>
      <c r="J46" s="257" t="str">
        <f>IF(H46="","",IF(H46=0.3,"J","L"))</f>
        <v/>
      </c>
      <c r="K46" s="257"/>
      <c r="L46" s="256"/>
      <c r="M46" s="256"/>
      <c r="N46" s="257" t="str">
        <f>IF(L46="","",IF(L46=0.3,"J","L"))</f>
        <v/>
      </c>
      <c r="O46" s="257"/>
      <c r="P46" s="256"/>
      <c r="Q46" s="256"/>
      <c r="R46" s="257" t="str">
        <f>IF(P46="","",IF(P46=0.7,"J","L"))</f>
        <v/>
      </c>
      <c r="S46" s="257"/>
      <c r="T46" s="256"/>
      <c r="U46" s="256"/>
      <c r="V46" s="257" t="str">
        <f>IF(T46="","",IF(T46=0.9,"J","L"))</f>
        <v/>
      </c>
      <c r="W46" s="257"/>
      <c r="X46" s="2"/>
      <c r="Y46" s="2"/>
      <c r="Z46" s="2"/>
    </row>
    <row r="47" spans="1:26" ht="23.25" thickBot="1">
      <c r="A47" s="2"/>
      <c r="B47" s="2"/>
      <c r="C47" s="25"/>
      <c r="D47" s="258">
        <v>1</v>
      </c>
      <c r="E47" s="258"/>
      <c r="F47" s="25"/>
      <c r="G47" s="25"/>
      <c r="H47" s="258">
        <v>3</v>
      </c>
      <c r="I47" s="258"/>
      <c r="J47" s="25"/>
      <c r="K47" s="25"/>
      <c r="L47" s="258">
        <v>5</v>
      </c>
      <c r="M47" s="258"/>
      <c r="N47" s="25"/>
      <c r="O47" s="25"/>
      <c r="P47" s="258">
        <v>7</v>
      </c>
      <c r="Q47" s="258"/>
      <c r="R47" s="25"/>
      <c r="S47" s="25"/>
      <c r="T47" s="258">
        <v>9</v>
      </c>
      <c r="U47" s="258"/>
      <c r="V47" s="25"/>
      <c r="W47" s="27"/>
      <c r="X47" s="2"/>
      <c r="Y47" s="2"/>
      <c r="Z47" s="2"/>
    </row>
    <row r="48" spans="1:26" s="110" customFormat="1" ht="23.25" thickTop="1">
      <c r="A48" s="25"/>
      <c r="B48" s="25"/>
      <c r="C48" s="25"/>
      <c r="D48" s="260">
        <v>10</v>
      </c>
      <c r="E48" s="260"/>
      <c r="F48" s="25"/>
      <c r="G48" s="25"/>
      <c r="H48" s="260">
        <v>10</v>
      </c>
      <c r="I48" s="260"/>
      <c r="J48" s="25"/>
      <c r="K48" s="25"/>
      <c r="L48" s="260">
        <v>10</v>
      </c>
      <c r="M48" s="260"/>
      <c r="N48" s="25"/>
      <c r="O48" s="25"/>
      <c r="P48" s="260">
        <v>10</v>
      </c>
      <c r="Q48" s="260"/>
      <c r="R48" s="25"/>
      <c r="S48" s="25"/>
      <c r="T48" s="260">
        <v>10</v>
      </c>
      <c r="U48" s="260"/>
      <c r="V48" s="25"/>
      <c r="W48" s="25"/>
      <c r="X48" s="25"/>
      <c r="Y48" s="25"/>
      <c r="Z48" s="25"/>
    </row>
    <row r="49" spans="1:26" s="110" customFormat="1" ht="2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s="110" customFormat="1" ht="2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s="110" customFormat="1" ht="2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s="110" customFormat="1" ht="2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s="110" customFormat="1" ht="2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s="110" customFormat="1" ht="2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s="110" customFormat="1" ht="2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s="110" customFormat="1" ht="2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s="18" customFormat="1" ht="19.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s="18" customFormat="1" ht="19.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s="18" customFormat="1" ht="19.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s="18" customFormat="1" ht="19.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s="18" customFormat="1" ht="19.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s="18" customFormat="1" ht="19.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s="18" customFormat="1" ht="19.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s="18" customFormat="1" ht="19.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s="18" customFormat="1" ht="19.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s="18" customFormat="1" ht="19.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s="18" customFormat="1" ht="19.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s="18" customFormat="1" ht="19.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s="18" customFormat="1" ht="19.5"/>
    <row r="70" spans="1:26" s="18" customFormat="1" ht="19.5"/>
  </sheetData>
  <sheetProtection password="C613" sheet="1" objects="1" scenarios="1"/>
  <mergeCells count="155">
    <mergeCell ref="X38:X39"/>
    <mergeCell ref="V39:W39"/>
    <mergeCell ref="D47:E47"/>
    <mergeCell ref="P38:P39"/>
    <mergeCell ref="N39:O39"/>
    <mergeCell ref="R38:S38"/>
    <mergeCell ref="T38:T39"/>
    <mergeCell ref="R39:S39"/>
    <mergeCell ref="J39:K39"/>
    <mergeCell ref="N38:O38"/>
    <mergeCell ref="D46:E46"/>
    <mergeCell ref="F46:G46"/>
    <mergeCell ref="H46:I46"/>
    <mergeCell ref="J46:K46"/>
    <mergeCell ref="L46:M46"/>
    <mergeCell ref="N46:O46"/>
    <mergeCell ref="M41:N41"/>
    <mergeCell ref="O41:P41"/>
    <mergeCell ref="Q41:R41"/>
    <mergeCell ref="J38:K38"/>
    <mergeCell ref="L38:L39"/>
    <mergeCell ref="V42:W42"/>
    <mergeCell ref="U41:V41"/>
    <mergeCell ref="K41:L41"/>
    <mergeCell ref="D48:E48"/>
    <mergeCell ref="V38:W38"/>
    <mergeCell ref="C14:D14"/>
    <mergeCell ref="E14:F14"/>
    <mergeCell ref="G14:H14"/>
    <mergeCell ref="I14:J14"/>
    <mergeCell ref="K14:L14"/>
    <mergeCell ref="M14:N14"/>
    <mergeCell ref="O14:P14"/>
    <mergeCell ref="C41:D41"/>
    <mergeCell ref="B42:C42"/>
    <mergeCell ref="D42:E42"/>
    <mergeCell ref="F42:G42"/>
    <mergeCell ref="H42:I42"/>
    <mergeCell ref="E41:F41"/>
    <mergeCell ref="G41:H41"/>
    <mergeCell ref="I41:J41"/>
    <mergeCell ref="P46:Q46"/>
    <mergeCell ref="R42:S42"/>
    <mergeCell ref="T42:U42"/>
    <mergeCell ref="J42:K42"/>
    <mergeCell ref="L42:M42"/>
    <mergeCell ref="N42:O42"/>
    <mergeCell ref="P42:Q42"/>
    <mergeCell ref="D13:E13"/>
    <mergeCell ref="F13:G13"/>
    <mergeCell ref="H13:I13"/>
    <mergeCell ref="J13:K13"/>
    <mergeCell ref="R10:S10"/>
    <mergeCell ref="Q14:R14"/>
    <mergeCell ref="S14:T14"/>
    <mergeCell ref="T10:U10"/>
    <mergeCell ref="U14:V14"/>
    <mergeCell ref="R13:S13"/>
    <mergeCell ref="N10:O10"/>
    <mergeCell ref="P10:Q10"/>
    <mergeCell ref="L13:M13"/>
    <mergeCell ref="N13:O13"/>
    <mergeCell ref="P13:Q13"/>
    <mergeCell ref="V13:W13"/>
    <mergeCell ref="T13:U13"/>
    <mergeCell ref="V10:W10"/>
    <mergeCell ref="O9:P9"/>
    <mergeCell ref="Q9:R9"/>
    <mergeCell ref="S9:T9"/>
    <mergeCell ref="U9:V9"/>
    <mergeCell ref="B10:C10"/>
    <mergeCell ref="D10:E10"/>
    <mergeCell ref="F10:G10"/>
    <mergeCell ref="H10:I10"/>
    <mergeCell ref="J10:K10"/>
    <mergeCell ref="L10:M10"/>
    <mergeCell ref="C9:D9"/>
    <mergeCell ref="E9:F9"/>
    <mergeCell ref="G9:H9"/>
    <mergeCell ref="I9:J9"/>
    <mergeCell ref="K9:L9"/>
    <mergeCell ref="M9:N9"/>
    <mergeCell ref="V46:W46"/>
    <mergeCell ref="H47:I47"/>
    <mergeCell ref="H48:I48"/>
    <mergeCell ref="L47:M47"/>
    <mergeCell ref="L48:M48"/>
    <mergeCell ref="P47:Q47"/>
    <mergeCell ref="P48:Q48"/>
    <mergeCell ref="T47:U47"/>
    <mergeCell ref="T48:U48"/>
    <mergeCell ref="R46:S46"/>
    <mergeCell ref="T46:U46"/>
    <mergeCell ref="F38:G38"/>
    <mergeCell ref="F39:G39"/>
    <mergeCell ref="H38:H39"/>
    <mergeCell ref="S41:T41"/>
    <mergeCell ref="K25:L25"/>
    <mergeCell ref="M25:N25"/>
    <mergeCell ref="O25:P25"/>
    <mergeCell ref="Q25:R25"/>
    <mergeCell ref="V22:W22"/>
    <mergeCell ref="V30:W30"/>
    <mergeCell ref="X22:X23"/>
    <mergeCell ref="F23:G23"/>
    <mergeCell ref="J23:K23"/>
    <mergeCell ref="N23:O23"/>
    <mergeCell ref="R23:S23"/>
    <mergeCell ref="V23:W23"/>
    <mergeCell ref="N22:O22"/>
    <mergeCell ref="P22:P23"/>
    <mergeCell ref="R22:S22"/>
    <mergeCell ref="T22:T23"/>
    <mergeCell ref="F22:G22"/>
    <mergeCell ref="H22:H23"/>
    <mergeCell ref="J22:K22"/>
    <mergeCell ref="L22:L23"/>
    <mergeCell ref="C25:D25"/>
    <mergeCell ref="E25:F25"/>
    <mergeCell ref="G25:H25"/>
    <mergeCell ref="I25:J25"/>
    <mergeCell ref="S25:T25"/>
    <mergeCell ref="U25:V25"/>
    <mergeCell ref="B26:C26"/>
    <mergeCell ref="D26:E26"/>
    <mergeCell ref="F26:G26"/>
    <mergeCell ref="H26:I26"/>
    <mergeCell ref="J26:K26"/>
    <mergeCell ref="L26:M26"/>
    <mergeCell ref="N26:O26"/>
    <mergeCell ref="P26:Q26"/>
    <mergeCell ref="R26:S26"/>
    <mergeCell ref="T26:U26"/>
    <mergeCell ref="V26:W26"/>
    <mergeCell ref="D31:E31"/>
    <mergeCell ref="H31:I31"/>
    <mergeCell ref="L31:M31"/>
    <mergeCell ref="P31:Q31"/>
    <mergeCell ref="T31:U31"/>
    <mergeCell ref="I33:N34"/>
    <mergeCell ref="T32:U32"/>
    <mergeCell ref="G33:H34"/>
    <mergeCell ref="D32:E32"/>
    <mergeCell ref="H32:I32"/>
    <mergeCell ref="L32:M32"/>
    <mergeCell ref="P32:Q32"/>
    <mergeCell ref="D30:E30"/>
    <mergeCell ref="F30:G30"/>
    <mergeCell ref="H30:I30"/>
    <mergeCell ref="J30:K30"/>
    <mergeCell ref="L30:M30"/>
    <mergeCell ref="N30:O30"/>
    <mergeCell ref="P30:Q30"/>
    <mergeCell ref="R30:S30"/>
    <mergeCell ref="T30:U30"/>
  </mergeCells>
  <phoneticPr fontId="0" type="noConversion"/>
  <conditionalFormatting sqref="C11:V11 C43:V43 C27:V27">
    <cfRule type="cellIs" dxfId="10" priority="1" stopIfTrue="1" operator="equal">
      <formula>"J"</formula>
    </cfRule>
  </conditionalFormatting>
  <conditionalFormatting sqref="M7 F39 T32 J39 N39 R39 D48 H48 L48 P48 T48 V39 F23 J23 N23 R23 D32 H32 L32 P32 V23">
    <cfRule type="cellIs" dxfId="9" priority="2" stopIfTrue="1" operator="equal">
      <formula>$O$7</formula>
    </cfRule>
    <cfRule type="cellIs" dxfId="8" priority="3" stopIfTrue="1" operator="between">
      <formula>$P$7</formula>
      <formula>$S$7</formula>
    </cfRule>
  </conditionalFormatting>
  <pageMargins left="0.75" right="0.75" top="1" bottom="1" header="0.5" footer="0.5"/>
  <pageSetup paperSize="9" orientation="portrait" horizontalDpi="0"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dimension ref="A1:P221"/>
  <sheetViews>
    <sheetView workbookViewId="0"/>
  </sheetViews>
  <sheetFormatPr defaultRowHeight="15"/>
  <cols>
    <col min="1" max="1" width="3.875" customWidth="1"/>
    <col min="2" max="2" width="3.5" customWidth="1"/>
    <col min="3" max="3" width="8.5" customWidth="1"/>
    <col min="4" max="4" width="3.5" customWidth="1"/>
    <col min="6" max="6" width="5" customWidth="1"/>
    <col min="7" max="7" width="3.5" customWidth="1"/>
    <col min="8" max="8" width="9.5" customWidth="1"/>
    <col min="9" max="9" width="3.5" customWidth="1"/>
    <col min="10" max="10" width="5.25" customWidth="1"/>
    <col min="11" max="11" width="3.5" customWidth="1"/>
    <col min="12" max="12" width="9.5" customWidth="1"/>
    <col min="13" max="13" width="4.25" customWidth="1"/>
    <col min="15" max="15" width="4.375" customWidth="1"/>
  </cols>
  <sheetData>
    <row r="1" spans="1:16" s="18" customFormat="1" ht="19.5">
      <c r="A1" s="12"/>
      <c r="B1" s="12"/>
      <c r="C1" s="12"/>
      <c r="D1" s="12"/>
      <c r="E1" s="12"/>
      <c r="F1" s="12"/>
      <c r="G1" s="12"/>
      <c r="H1" s="12"/>
      <c r="I1" s="12"/>
      <c r="J1" s="12"/>
      <c r="K1" s="12"/>
      <c r="L1" s="12"/>
      <c r="M1" s="12"/>
      <c r="N1" s="12"/>
      <c r="O1" s="12"/>
      <c r="P1" s="12"/>
    </row>
    <row r="2" spans="1:16" s="18" customFormat="1" ht="19.5">
      <c r="A2" s="12"/>
      <c r="B2" s="12"/>
      <c r="C2" s="12"/>
      <c r="D2" s="12"/>
      <c r="E2" s="12"/>
      <c r="F2" s="12"/>
      <c r="G2" s="12"/>
      <c r="H2" s="12"/>
      <c r="I2" s="12"/>
      <c r="J2" s="12"/>
      <c r="K2" s="12"/>
      <c r="L2" s="12"/>
      <c r="M2" s="12"/>
      <c r="N2" s="12"/>
      <c r="O2" s="12"/>
      <c r="P2" s="12"/>
    </row>
    <row r="3" spans="1:16" s="18" customFormat="1" ht="19.5">
      <c r="A3" s="12"/>
      <c r="B3" s="12"/>
      <c r="C3" s="12"/>
      <c r="D3" s="12"/>
      <c r="E3" s="12"/>
      <c r="F3" s="12"/>
      <c r="G3" s="12"/>
      <c r="H3" s="12"/>
      <c r="I3" s="12"/>
      <c r="J3" s="12"/>
      <c r="K3" s="12"/>
      <c r="L3" s="12"/>
      <c r="M3" s="12"/>
      <c r="N3" s="12"/>
      <c r="O3" s="12"/>
      <c r="P3" s="12"/>
    </row>
    <row r="4" spans="1:16" s="18" customFormat="1" ht="19.5">
      <c r="A4" s="133" t="s">
        <v>14</v>
      </c>
      <c r="B4" s="133"/>
      <c r="C4" s="133"/>
      <c r="D4" s="133"/>
      <c r="E4" s="133"/>
      <c r="F4" s="133"/>
      <c r="G4" s="133"/>
      <c r="H4" s="133"/>
      <c r="I4" s="133"/>
      <c r="J4" s="133"/>
      <c r="K4" s="133"/>
      <c r="L4" s="133"/>
      <c r="M4" s="133"/>
      <c r="N4" s="133"/>
      <c r="O4" s="133"/>
      <c r="P4" s="133"/>
    </row>
    <row r="5" spans="1:16" s="18" customFormat="1" ht="19.5">
      <c r="A5" s="133" t="s">
        <v>24</v>
      </c>
      <c r="B5" s="133"/>
      <c r="C5" s="133"/>
      <c r="D5" s="133"/>
      <c r="E5" s="133"/>
      <c r="F5" s="133"/>
      <c r="G5" s="133"/>
      <c r="H5" s="133"/>
      <c r="I5" s="133"/>
      <c r="J5" s="133"/>
      <c r="K5" s="133"/>
      <c r="L5" s="133"/>
      <c r="M5" s="133"/>
      <c r="N5" s="133"/>
      <c r="O5" s="133"/>
      <c r="P5" s="133"/>
    </row>
    <row r="6" spans="1:16" s="18" customFormat="1" ht="19.5">
      <c r="A6" s="133" t="s">
        <v>15</v>
      </c>
      <c r="B6" s="133"/>
      <c r="C6" s="133"/>
      <c r="D6" s="133"/>
      <c r="E6" s="133"/>
      <c r="F6" s="133"/>
      <c r="G6" s="133"/>
      <c r="H6" s="133"/>
      <c r="I6" s="133"/>
      <c r="J6" s="133"/>
      <c r="K6" s="133"/>
      <c r="L6" s="133"/>
      <c r="M6" s="133"/>
      <c r="N6" s="133"/>
      <c r="O6" s="133"/>
      <c r="P6" s="133"/>
    </row>
    <row r="7" spans="1:16" s="18" customFormat="1" ht="7.5" customHeight="1">
      <c r="A7" s="12"/>
      <c r="B7" s="12"/>
      <c r="C7" s="12"/>
      <c r="D7" s="12"/>
      <c r="E7" s="12"/>
      <c r="F7" s="12"/>
      <c r="G7" s="12"/>
      <c r="H7" s="12"/>
      <c r="I7" s="12"/>
      <c r="J7" s="12"/>
      <c r="K7" s="12"/>
      <c r="L7" s="12"/>
      <c r="M7" s="12"/>
      <c r="N7" s="12"/>
      <c r="O7" s="12"/>
      <c r="P7" s="12"/>
    </row>
    <row r="8" spans="1:16" s="18" customFormat="1" ht="2.25" customHeight="1">
      <c r="A8" s="12"/>
      <c r="B8" s="12"/>
      <c r="C8" s="12"/>
      <c r="D8" s="12"/>
      <c r="E8" s="12"/>
      <c r="F8" s="12"/>
      <c r="G8" s="12"/>
      <c r="H8" s="12"/>
      <c r="I8" s="12"/>
      <c r="J8" s="12"/>
      <c r="K8" s="12"/>
      <c r="L8" s="12"/>
      <c r="M8" s="12"/>
      <c r="N8" s="12"/>
      <c r="O8" s="12"/>
      <c r="P8" s="12"/>
    </row>
    <row r="9" spans="1:16" s="18" customFormat="1" ht="19.5">
      <c r="A9" s="12" t="s">
        <v>20</v>
      </c>
      <c r="B9" s="12"/>
      <c r="C9" s="12"/>
      <c r="D9" s="12"/>
      <c r="E9" s="12"/>
      <c r="F9" s="12"/>
      <c r="G9" s="12"/>
      <c r="H9" s="12"/>
      <c r="I9" s="12"/>
      <c r="J9" s="12"/>
      <c r="K9" s="12"/>
      <c r="L9" s="12"/>
      <c r="M9" s="12"/>
      <c r="N9" s="12"/>
      <c r="O9" s="12"/>
      <c r="P9" s="12"/>
    </row>
    <row r="10" spans="1:16" s="18" customFormat="1" ht="19.5">
      <c r="A10" s="12" t="s">
        <v>22</v>
      </c>
      <c r="B10" s="12"/>
      <c r="C10" s="12"/>
      <c r="D10" s="12"/>
      <c r="E10" s="12"/>
      <c r="F10" s="12"/>
      <c r="G10" s="12"/>
      <c r="H10" s="12"/>
      <c r="I10" s="12"/>
      <c r="J10" s="12"/>
      <c r="K10" s="12"/>
      <c r="L10" s="12"/>
      <c r="M10" s="12"/>
      <c r="N10" s="12"/>
      <c r="O10" s="12"/>
      <c r="P10" s="12"/>
    </row>
    <row r="11" spans="1:16" s="18" customFormat="1" ht="19.5">
      <c r="A11" s="12" t="s">
        <v>21</v>
      </c>
      <c r="B11" s="12"/>
      <c r="C11" s="12"/>
      <c r="D11" s="12"/>
      <c r="E11" s="12"/>
      <c r="F11" s="12"/>
      <c r="G11" s="12"/>
      <c r="H11" s="12"/>
      <c r="I11" s="12"/>
      <c r="J11" s="12"/>
      <c r="K11" s="12"/>
      <c r="L11" s="12"/>
      <c r="M11" s="12"/>
      <c r="N11" s="12"/>
      <c r="O11" s="12"/>
      <c r="P11" s="12"/>
    </row>
    <row r="12" spans="1:16" s="18" customFormat="1" ht="19.5">
      <c r="A12" s="12" t="s">
        <v>25</v>
      </c>
      <c r="B12" s="12"/>
      <c r="C12" s="12"/>
      <c r="D12" s="12"/>
      <c r="E12" s="12"/>
      <c r="F12" s="12"/>
      <c r="G12" s="12"/>
      <c r="H12" s="12"/>
      <c r="I12" s="12"/>
      <c r="J12" s="12"/>
      <c r="K12" s="12"/>
      <c r="L12" s="12"/>
      <c r="M12" s="12"/>
      <c r="N12" s="12"/>
      <c r="O12" s="12"/>
      <c r="P12" s="12"/>
    </row>
    <row r="13" spans="1:16" s="18" customFormat="1" ht="19.5">
      <c r="A13" s="12" t="s">
        <v>23</v>
      </c>
      <c r="B13" s="12"/>
      <c r="C13" s="12"/>
      <c r="D13" s="12"/>
      <c r="E13" s="12"/>
      <c r="F13" s="12"/>
      <c r="G13" s="12"/>
      <c r="H13" s="12"/>
      <c r="I13" s="12"/>
      <c r="J13" s="12"/>
      <c r="K13" s="12"/>
      <c r="L13" s="12"/>
      <c r="M13" s="12"/>
      <c r="N13" s="12"/>
      <c r="O13" s="12"/>
      <c r="P13" s="12"/>
    </row>
    <row r="14" spans="1:16" s="18" customFormat="1" ht="19.5">
      <c r="A14" s="12" t="s">
        <v>26</v>
      </c>
      <c r="B14" s="12"/>
      <c r="C14" s="12"/>
      <c r="D14" s="12"/>
      <c r="E14" s="12"/>
      <c r="F14" s="12"/>
      <c r="G14" s="12"/>
      <c r="H14" s="12"/>
      <c r="I14" s="12"/>
      <c r="J14" s="12"/>
      <c r="K14" s="12"/>
      <c r="L14" s="12"/>
      <c r="M14" s="12"/>
      <c r="N14" s="12"/>
      <c r="O14" s="12"/>
      <c r="P14" s="12"/>
    </row>
    <row r="15" spans="1:16" s="18" customFormat="1" ht="19.5">
      <c r="A15" s="12" t="s">
        <v>27</v>
      </c>
      <c r="B15" s="12"/>
      <c r="C15" s="12"/>
      <c r="D15" s="12"/>
      <c r="E15" s="12"/>
      <c r="F15" s="12"/>
      <c r="G15" s="12"/>
      <c r="H15" s="12"/>
      <c r="I15" s="12"/>
      <c r="J15" s="12"/>
      <c r="K15" s="28" t="s">
        <v>29</v>
      </c>
      <c r="L15" s="28"/>
      <c r="M15" s="28"/>
      <c r="N15" s="28"/>
      <c r="O15" s="28"/>
      <c r="P15" s="12"/>
    </row>
    <row r="16" spans="1:16" s="18" customFormat="1" ht="19.5">
      <c r="A16" s="12" t="s">
        <v>28</v>
      </c>
      <c r="B16" s="12"/>
      <c r="C16" s="12"/>
      <c r="D16" s="12"/>
      <c r="E16" s="12"/>
      <c r="F16" s="12"/>
      <c r="G16" s="12"/>
      <c r="H16" s="12"/>
      <c r="I16" s="12"/>
      <c r="J16" s="12"/>
      <c r="K16" s="28" t="s">
        <v>30</v>
      </c>
      <c r="L16" s="28"/>
      <c r="M16" s="28"/>
      <c r="N16" s="28"/>
      <c r="O16" s="28"/>
      <c r="P16" s="12"/>
    </row>
    <row r="17" spans="1:16" s="18" customFormat="1" ht="19.5">
      <c r="A17" s="12" t="s">
        <v>31</v>
      </c>
      <c r="B17" s="12"/>
      <c r="C17" s="12"/>
      <c r="D17" s="12"/>
      <c r="E17" s="12"/>
      <c r="F17" s="12"/>
      <c r="G17" s="12"/>
      <c r="H17" s="12"/>
      <c r="I17" s="12"/>
      <c r="J17" s="12"/>
      <c r="K17" s="12"/>
      <c r="L17" s="12"/>
      <c r="M17" s="12"/>
      <c r="N17" s="12"/>
      <c r="O17" s="12"/>
      <c r="P17" s="12"/>
    </row>
    <row r="18" spans="1:16" s="18" customFormat="1" ht="19.5">
      <c r="A18" s="12" t="s">
        <v>32</v>
      </c>
      <c r="B18" s="12"/>
      <c r="C18" s="12"/>
      <c r="D18" s="12"/>
      <c r="E18" s="12"/>
      <c r="F18" s="12"/>
      <c r="G18" s="12"/>
      <c r="H18" s="12"/>
      <c r="I18" s="12"/>
      <c r="J18" s="12"/>
      <c r="K18" s="12"/>
      <c r="L18" s="12"/>
      <c r="M18" s="12"/>
      <c r="N18" s="12"/>
      <c r="O18" s="12"/>
      <c r="P18" s="12"/>
    </row>
    <row r="19" spans="1:16" s="18" customFormat="1" ht="19.5">
      <c r="A19" s="12"/>
      <c r="B19" s="12"/>
      <c r="C19" s="12"/>
      <c r="D19" s="12"/>
      <c r="E19" s="12"/>
      <c r="F19" s="12"/>
      <c r="G19" s="12"/>
      <c r="H19" s="12"/>
      <c r="I19" s="12"/>
      <c r="J19" s="12"/>
      <c r="K19" s="12"/>
      <c r="L19" s="12"/>
      <c r="M19" s="12"/>
      <c r="N19" s="12"/>
      <c r="O19" s="12"/>
      <c r="P19" s="12"/>
    </row>
    <row r="20" spans="1:16" s="18" customFormat="1" ht="19.5">
      <c r="A20" s="21" t="s">
        <v>33</v>
      </c>
      <c r="B20" s="21"/>
      <c r="C20" s="21"/>
      <c r="D20" s="21"/>
      <c r="E20" s="21"/>
      <c r="F20" s="21"/>
      <c r="G20" s="21"/>
      <c r="H20" s="21"/>
      <c r="I20" s="21"/>
      <c r="J20" s="21"/>
      <c r="K20" s="21"/>
      <c r="L20" s="21"/>
      <c r="M20" s="21"/>
      <c r="N20" s="21"/>
      <c r="O20" s="21"/>
      <c r="P20" s="21"/>
    </row>
    <row r="21" spans="1:16" s="18" customFormat="1" ht="19.5">
      <c r="A21" s="21" t="s">
        <v>127</v>
      </c>
      <c r="B21" s="21"/>
      <c r="C21" s="21"/>
      <c r="D21" s="21"/>
      <c r="E21" s="21"/>
      <c r="F21" s="21"/>
      <c r="G21" s="21"/>
      <c r="H21" s="21"/>
      <c r="I21" s="21"/>
      <c r="J21" s="21"/>
      <c r="K21" s="21"/>
      <c r="L21" s="21"/>
      <c r="M21" s="21"/>
      <c r="N21" s="21"/>
      <c r="O21" s="21"/>
      <c r="P21" s="21"/>
    </row>
    <row r="22" spans="1:16" s="18" customFormat="1" ht="19.5">
      <c r="A22" s="12"/>
      <c r="B22" s="12"/>
      <c r="C22" s="12"/>
      <c r="D22" s="12"/>
      <c r="E22" s="12"/>
      <c r="F22" s="12"/>
      <c r="G22" s="12"/>
      <c r="H22" s="12"/>
      <c r="I22" s="12"/>
      <c r="J22" s="12"/>
      <c r="K22" s="12"/>
      <c r="L22" s="12"/>
      <c r="M22" s="12"/>
      <c r="N22" s="12"/>
      <c r="O22" s="12"/>
      <c r="P22" s="12"/>
    </row>
    <row r="23" spans="1:16" s="18" customFormat="1" ht="19.5">
      <c r="A23" s="12"/>
      <c r="B23" s="12"/>
      <c r="C23" s="12"/>
      <c r="D23" s="12"/>
      <c r="E23" s="12"/>
      <c r="F23" s="12"/>
      <c r="G23" s="12"/>
      <c r="H23" s="12"/>
      <c r="I23" s="12"/>
      <c r="J23" s="12"/>
      <c r="K23" s="12"/>
      <c r="L23" s="12"/>
      <c r="M23" s="12"/>
      <c r="N23" s="12"/>
      <c r="O23" s="12"/>
      <c r="P23" s="12"/>
    </row>
    <row r="24" spans="1:16" s="18" customFormat="1" ht="19.5">
      <c r="A24" s="12"/>
      <c r="B24" s="12"/>
      <c r="C24" s="12"/>
      <c r="D24" s="12"/>
      <c r="E24" s="12"/>
      <c r="F24" s="12"/>
      <c r="G24" s="12"/>
      <c r="H24" s="12"/>
      <c r="I24" s="12"/>
      <c r="J24" s="12"/>
      <c r="K24" s="12"/>
      <c r="L24" s="12"/>
      <c r="M24" s="12"/>
      <c r="N24" s="12"/>
      <c r="O24" s="12"/>
      <c r="P24" s="12"/>
    </row>
    <row r="25" spans="1:16" s="18" customFormat="1" ht="19.5">
      <c r="A25" s="12"/>
      <c r="B25" s="12"/>
      <c r="C25" s="12"/>
      <c r="D25" s="12"/>
      <c r="E25" s="12"/>
      <c r="F25" s="12"/>
      <c r="G25" s="12"/>
      <c r="H25" s="12"/>
      <c r="I25" s="12"/>
      <c r="J25" s="12"/>
      <c r="K25" s="12"/>
      <c r="L25" s="12"/>
      <c r="M25" s="12"/>
      <c r="N25" s="12"/>
      <c r="O25" s="12"/>
      <c r="P25" s="12"/>
    </row>
    <row r="26" spans="1:16" s="18" customFormat="1" ht="19.5">
      <c r="A26" s="12"/>
      <c r="B26" s="12"/>
      <c r="C26" s="12"/>
      <c r="D26" s="12"/>
      <c r="E26" s="12"/>
      <c r="F26" s="12"/>
      <c r="G26" s="12"/>
      <c r="H26" s="12"/>
      <c r="I26" s="12"/>
      <c r="J26" s="12"/>
      <c r="K26" s="12"/>
      <c r="L26" s="12"/>
      <c r="M26" s="12"/>
      <c r="N26" s="12"/>
      <c r="O26" s="12"/>
      <c r="P26" s="12"/>
    </row>
    <row r="27" spans="1:16" s="18" customFormat="1" ht="6" customHeight="1">
      <c r="A27" s="12"/>
      <c r="B27" s="28"/>
      <c r="C27" s="28"/>
      <c r="D27" s="28"/>
      <c r="E27" s="12"/>
      <c r="F27" s="12"/>
      <c r="G27" s="28"/>
      <c r="H27" s="28"/>
      <c r="I27" s="28"/>
      <c r="J27" s="12"/>
      <c r="K27" s="28"/>
      <c r="L27" s="28"/>
      <c r="M27" s="28"/>
      <c r="N27" s="12"/>
      <c r="O27" s="12"/>
      <c r="P27" s="12"/>
    </row>
    <row r="28" spans="1:16" s="18" customFormat="1" ht="19.5">
      <c r="A28" s="12"/>
      <c r="B28" s="128"/>
      <c r="C28" s="126"/>
      <c r="D28" s="127"/>
      <c r="E28" s="12"/>
      <c r="F28" s="12"/>
      <c r="G28" s="128"/>
      <c r="H28" s="126"/>
      <c r="I28" s="127"/>
      <c r="J28" s="12"/>
      <c r="K28" s="128"/>
      <c r="L28" s="22"/>
      <c r="M28" s="127"/>
      <c r="N28" s="12"/>
      <c r="O28" s="12"/>
      <c r="P28" s="12"/>
    </row>
    <row r="29" spans="1:16" s="18" customFormat="1" ht="28.5" customHeight="1" thickBot="1">
      <c r="A29" s="12"/>
      <c r="B29" s="126"/>
      <c r="C29" s="125">
        <v>18</v>
      </c>
      <c r="D29" s="126"/>
      <c r="E29" s="12"/>
      <c r="F29" s="12"/>
      <c r="G29" s="126"/>
      <c r="H29" s="131">
        <f>C29/C30</f>
        <v>0.45</v>
      </c>
      <c r="I29" s="12"/>
      <c r="J29" s="12"/>
      <c r="K29" s="126"/>
      <c r="L29" s="131">
        <f>C29*100/C30</f>
        <v>45</v>
      </c>
      <c r="M29" s="12"/>
      <c r="N29" s="12"/>
      <c r="O29" s="12"/>
      <c r="P29" s="12"/>
    </row>
    <row r="30" spans="1:16" s="18" customFormat="1" ht="28.5" customHeight="1" thickTop="1">
      <c r="A30" s="12"/>
      <c r="B30" s="126"/>
      <c r="C30" s="124">
        <v>40</v>
      </c>
      <c r="D30" s="126"/>
      <c r="E30" s="12"/>
      <c r="F30" s="12"/>
      <c r="G30" s="126"/>
      <c r="H30" s="129"/>
      <c r="I30" s="12"/>
      <c r="J30" s="12"/>
      <c r="K30" s="126"/>
      <c r="L30" s="130" t="s">
        <v>102</v>
      </c>
      <c r="M30" s="12"/>
      <c r="N30" s="12"/>
      <c r="O30" s="12"/>
      <c r="P30" s="12"/>
    </row>
    <row r="31" spans="1:16" s="18" customFormat="1" ht="12" customHeight="1">
      <c r="A31" s="12"/>
      <c r="B31" s="12"/>
      <c r="C31" s="127"/>
      <c r="D31" s="12"/>
      <c r="E31" s="12"/>
      <c r="F31" s="12"/>
      <c r="G31" s="12"/>
      <c r="H31" s="127"/>
      <c r="I31" s="12"/>
      <c r="J31" s="12"/>
      <c r="K31" s="12"/>
      <c r="L31" s="127"/>
      <c r="M31" s="12"/>
      <c r="N31" s="12"/>
      <c r="O31" s="12"/>
      <c r="P31" s="12"/>
    </row>
    <row r="32" spans="1:16" s="18" customFormat="1" ht="19.5">
      <c r="A32" s="12"/>
      <c r="B32" s="12"/>
      <c r="C32" s="12"/>
      <c r="D32" s="12"/>
      <c r="E32" s="12"/>
      <c r="F32" s="12"/>
      <c r="G32" s="12"/>
      <c r="H32" s="12"/>
      <c r="I32" s="12"/>
      <c r="J32" s="12"/>
      <c r="K32" s="12"/>
      <c r="L32" s="12"/>
      <c r="M32" s="12"/>
      <c r="N32" s="12"/>
      <c r="O32" s="12"/>
      <c r="P32" s="12"/>
    </row>
    <row r="33" spans="1:16" s="18" customFormat="1" ht="19.5">
      <c r="A33" s="12"/>
      <c r="B33" s="12"/>
      <c r="C33" s="12"/>
      <c r="D33" s="12"/>
      <c r="E33" s="12"/>
      <c r="F33" s="12"/>
      <c r="G33" s="12"/>
      <c r="H33" s="12"/>
      <c r="I33" s="12"/>
      <c r="J33" s="12"/>
      <c r="K33" s="12"/>
      <c r="L33" s="12"/>
      <c r="M33" s="12"/>
      <c r="N33" s="12"/>
      <c r="O33" s="12"/>
      <c r="P33" s="12"/>
    </row>
    <row r="34" spans="1:16" s="18" customFormat="1" ht="19.5">
      <c r="A34" s="12"/>
      <c r="B34" s="12"/>
      <c r="C34" s="12"/>
      <c r="D34" s="12"/>
      <c r="E34" s="12"/>
      <c r="F34" s="12"/>
      <c r="G34" s="12"/>
      <c r="H34" s="12"/>
      <c r="I34" s="12"/>
      <c r="J34" s="12"/>
      <c r="K34" s="12"/>
      <c r="L34" s="12"/>
      <c r="M34" s="12"/>
      <c r="N34" s="12"/>
      <c r="O34" s="12"/>
      <c r="P34" s="12"/>
    </row>
    <row r="35" spans="1:16" s="18" customFormat="1" ht="19.5">
      <c r="A35" s="12"/>
      <c r="B35" s="12"/>
      <c r="C35" s="12"/>
      <c r="D35" s="12"/>
      <c r="E35" s="12"/>
      <c r="F35" s="12"/>
      <c r="G35" s="12"/>
      <c r="H35" s="12"/>
      <c r="I35" s="12"/>
      <c r="J35" s="12"/>
      <c r="K35" s="12"/>
      <c r="L35" s="12"/>
      <c r="M35" s="12"/>
      <c r="N35" s="12"/>
      <c r="O35" s="12"/>
      <c r="P35" s="12"/>
    </row>
    <row r="36" spans="1:16" s="18" customFormat="1" ht="19.5">
      <c r="A36" s="12"/>
      <c r="B36" s="12"/>
      <c r="C36" s="12"/>
      <c r="D36" s="12"/>
      <c r="E36" s="12"/>
      <c r="F36" s="12"/>
      <c r="G36" s="12"/>
      <c r="H36" s="12"/>
      <c r="I36" s="12"/>
      <c r="J36" s="12"/>
      <c r="K36" s="12"/>
      <c r="L36" s="12"/>
      <c r="M36" s="12"/>
      <c r="N36" s="12"/>
      <c r="O36" s="12"/>
      <c r="P36" s="12"/>
    </row>
    <row r="37" spans="1:16" s="18" customFormat="1" ht="19.5">
      <c r="A37" s="12"/>
      <c r="B37" s="12"/>
      <c r="C37" s="12"/>
      <c r="D37" s="12"/>
      <c r="E37" s="12"/>
      <c r="F37" s="12"/>
      <c r="G37" s="12"/>
      <c r="H37" s="12"/>
      <c r="I37" s="12"/>
      <c r="J37" s="12"/>
      <c r="K37" s="12"/>
      <c r="L37" s="12"/>
      <c r="M37" s="12"/>
      <c r="N37" s="12"/>
      <c r="O37" s="12"/>
      <c r="P37" s="12"/>
    </row>
    <row r="38" spans="1:16" s="18" customFormat="1" ht="19.5">
      <c r="A38" s="12"/>
      <c r="B38" s="12"/>
      <c r="C38" s="12"/>
      <c r="D38" s="12"/>
      <c r="E38" s="12"/>
      <c r="F38" s="12"/>
      <c r="G38" s="12"/>
      <c r="H38" s="12"/>
      <c r="I38" s="12"/>
      <c r="J38" s="12"/>
      <c r="K38" s="12"/>
      <c r="L38" s="12"/>
      <c r="M38" s="12"/>
      <c r="N38" s="12"/>
      <c r="O38" s="12"/>
      <c r="P38" s="12"/>
    </row>
    <row r="39" spans="1:16" s="18" customFormat="1" ht="19.5">
      <c r="A39" s="12"/>
      <c r="B39" s="12"/>
      <c r="C39" s="12"/>
      <c r="D39" s="12"/>
      <c r="E39" s="12"/>
      <c r="F39" s="12"/>
      <c r="G39" s="12"/>
      <c r="H39" s="12"/>
      <c r="I39" s="12"/>
      <c r="J39" s="12"/>
      <c r="K39" s="12"/>
      <c r="L39" s="12"/>
      <c r="M39" s="12"/>
      <c r="N39" s="12"/>
      <c r="O39" s="12"/>
      <c r="P39" s="12"/>
    </row>
    <row r="40" spans="1:16" s="18" customFormat="1" ht="19.5">
      <c r="A40" s="12"/>
      <c r="B40" s="12"/>
      <c r="C40" s="12"/>
      <c r="D40" s="12"/>
      <c r="E40" s="12"/>
      <c r="F40" s="12"/>
      <c r="G40" s="12"/>
      <c r="H40" s="12"/>
      <c r="I40" s="12"/>
      <c r="J40" s="12"/>
      <c r="K40" s="12"/>
      <c r="L40" s="12"/>
      <c r="M40" s="12"/>
      <c r="N40" s="12"/>
      <c r="O40" s="12"/>
      <c r="P40" s="12"/>
    </row>
    <row r="41" spans="1:16" s="18" customFormat="1" ht="19.5">
      <c r="A41" s="12" t="s">
        <v>128</v>
      </c>
      <c r="B41" s="12"/>
      <c r="C41" s="12"/>
      <c r="D41" s="12"/>
      <c r="E41" s="12"/>
      <c r="F41" s="12"/>
      <c r="G41" s="12"/>
      <c r="H41" s="12"/>
      <c r="I41" s="12"/>
      <c r="J41" s="12"/>
      <c r="K41" s="12"/>
      <c r="L41" s="12"/>
      <c r="M41" s="12"/>
      <c r="N41" s="12"/>
      <c r="O41" s="12"/>
      <c r="P41" s="12"/>
    </row>
    <row r="42" spans="1:16" s="18" customFormat="1" ht="19.5">
      <c r="A42" s="12" t="s">
        <v>129</v>
      </c>
      <c r="B42" s="12"/>
      <c r="C42" s="12"/>
      <c r="D42" s="12"/>
      <c r="E42" s="12"/>
      <c r="F42" s="12"/>
      <c r="G42" s="12"/>
      <c r="H42" s="12"/>
      <c r="I42" s="12"/>
      <c r="J42" s="12"/>
      <c r="K42" s="12"/>
      <c r="L42" s="12"/>
      <c r="M42" s="12"/>
      <c r="N42" s="12"/>
      <c r="O42" s="12"/>
      <c r="P42" s="12"/>
    </row>
    <row r="43" spans="1:16" s="18" customFormat="1" ht="19.5">
      <c r="A43" s="12" t="s">
        <v>130</v>
      </c>
      <c r="B43" s="12"/>
      <c r="C43" s="12"/>
      <c r="D43" s="12"/>
      <c r="E43" s="12"/>
      <c r="F43" s="12"/>
      <c r="G43" s="12"/>
      <c r="H43" s="12"/>
      <c r="I43" s="12"/>
      <c r="J43" s="12"/>
      <c r="K43" s="12"/>
      <c r="L43" s="12"/>
      <c r="M43" s="12"/>
      <c r="N43" s="12"/>
      <c r="O43" s="12"/>
      <c r="P43" s="12"/>
    </row>
    <row r="44" spans="1:16" s="18" customFormat="1" ht="20.25" thickBot="1">
      <c r="A44" s="207">
        <v>9</v>
      </c>
      <c r="B44" s="12"/>
      <c r="C44" s="12"/>
      <c r="D44" s="207">
        <v>4</v>
      </c>
      <c r="E44" s="12"/>
      <c r="F44" s="12"/>
      <c r="G44" s="207">
        <v>4</v>
      </c>
      <c r="H44" s="12"/>
      <c r="I44" s="12"/>
      <c r="J44" s="12"/>
      <c r="K44" s="207">
        <v>12</v>
      </c>
      <c r="L44" s="12"/>
      <c r="M44" s="12"/>
      <c r="N44" s="12"/>
      <c r="O44" s="207">
        <v>18</v>
      </c>
      <c r="P44" s="12"/>
    </row>
    <row r="45" spans="1:16" s="18" customFormat="1" ht="19.5">
      <c r="A45" s="208">
        <v>10</v>
      </c>
      <c r="B45" s="12"/>
      <c r="C45" s="12"/>
      <c r="D45" s="208">
        <v>5</v>
      </c>
      <c r="E45" s="12"/>
      <c r="F45" s="12"/>
      <c r="G45" s="208">
        <v>20</v>
      </c>
      <c r="H45" s="12"/>
      <c r="I45" s="12"/>
      <c r="J45" s="12"/>
      <c r="K45" s="208">
        <v>50</v>
      </c>
      <c r="L45" s="12"/>
      <c r="M45" s="12"/>
      <c r="N45" s="12"/>
      <c r="O45" s="208">
        <v>40</v>
      </c>
      <c r="P45" s="12"/>
    </row>
    <row r="46" spans="1:16" s="18" customFormat="1" ht="19.5">
      <c r="A46" s="12"/>
      <c r="B46" s="12"/>
      <c r="C46" s="12"/>
      <c r="D46" s="12"/>
      <c r="E46" s="12"/>
      <c r="F46" s="12"/>
      <c r="G46" s="12"/>
      <c r="H46" s="12"/>
      <c r="I46" s="12"/>
      <c r="J46" s="12"/>
      <c r="K46" s="12"/>
      <c r="L46" s="12"/>
      <c r="M46" s="12"/>
      <c r="N46" s="12"/>
      <c r="O46" s="12"/>
      <c r="P46" s="12"/>
    </row>
    <row r="47" spans="1:16" s="18" customFormat="1" ht="20.25" thickBot="1">
      <c r="A47" s="207">
        <v>6</v>
      </c>
      <c r="B47" s="12"/>
      <c r="C47" s="12"/>
      <c r="D47" s="207">
        <v>12</v>
      </c>
      <c r="E47" s="12"/>
      <c r="F47" s="12"/>
      <c r="G47" s="207">
        <v>18</v>
      </c>
      <c r="H47" s="12"/>
      <c r="I47" s="12"/>
      <c r="J47" s="12"/>
      <c r="K47" s="207">
        <v>12</v>
      </c>
      <c r="L47" s="12"/>
      <c r="M47" s="12"/>
      <c r="N47" s="12"/>
      <c r="O47" s="207">
        <v>15</v>
      </c>
      <c r="P47" s="12"/>
    </row>
    <row r="48" spans="1:16" s="18" customFormat="1" ht="19.5">
      <c r="A48" s="208">
        <v>8</v>
      </c>
      <c r="B48" s="12"/>
      <c r="C48" s="12"/>
      <c r="D48" s="208">
        <v>20</v>
      </c>
      <c r="E48" s="12"/>
      <c r="F48" s="12"/>
      <c r="G48" s="208">
        <v>30</v>
      </c>
      <c r="H48" s="12"/>
      <c r="I48" s="12"/>
      <c r="J48" s="12"/>
      <c r="K48" s="208">
        <v>15</v>
      </c>
      <c r="L48" s="12"/>
      <c r="M48" s="12"/>
      <c r="N48" s="12"/>
      <c r="O48" s="208">
        <v>60</v>
      </c>
      <c r="P48" s="12"/>
    </row>
    <row r="49" spans="1:16" s="18" customFormat="1" ht="19.5">
      <c r="A49" s="12"/>
      <c r="B49" s="12"/>
      <c r="C49" s="12"/>
      <c r="D49" s="12"/>
      <c r="E49" s="12"/>
      <c r="F49" s="12"/>
      <c r="G49" s="12"/>
      <c r="H49" s="12"/>
      <c r="I49" s="12"/>
      <c r="J49" s="12"/>
      <c r="K49" s="12"/>
      <c r="L49" s="12"/>
      <c r="M49" s="12"/>
      <c r="N49" s="12"/>
      <c r="O49" s="12"/>
      <c r="P49" s="12"/>
    </row>
    <row r="50" spans="1:16" s="18" customFormat="1" ht="19.5">
      <c r="A50" s="12"/>
      <c r="B50" s="12"/>
      <c r="C50" s="12"/>
      <c r="D50" s="12"/>
      <c r="E50" s="12"/>
      <c r="F50" s="12"/>
      <c r="G50" s="12"/>
      <c r="H50" s="12"/>
      <c r="I50" s="12"/>
      <c r="J50" s="12"/>
      <c r="K50" s="12"/>
      <c r="L50" s="12"/>
      <c r="M50" s="12"/>
      <c r="N50" s="12"/>
      <c r="O50" s="12"/>
      <c r="P50" s="12"/>
    </row>
    <row r="51" spans="1:16" s="18" customFormat="1" ht="19.5">
      <c r="A51" s="12"/>
      <c r="B51" s="12"/>
      <c r="C51" s="12"/>
      <c r="D51" s="12"/>
      <c r="E51" s="12"/>
      <c r="F51" s="12"/>
      <c r="G51" s="12"/>
      <c r="H51" s="12"/>
      <c r="I51" s="12"/>
      <c r="J51" s="12"/>
      <c r="K51" s="12"/>
      <c r="L51" s="12"/>
      <c r="M51" s="12"/>
      <c r="N51" s="12"/>
      <c r="O51" s="12"/>
      <c r="P51" s="12"/>
    </row>
    <row r="52" spans="1:16" s="18" customFormat="1" ht="19.5">
      <c r="A52" s="12"/>
      <c r="B52" s="12"/>
      <c r="C52" s="12"/>
      <c r="D52" s="12"/>
      <c r="E52" s="12"/>
      <c r="F52" s="12"/>
      <c r="G52" s="12"/>
      <c r="H52" s="12"/>
      <c r="I52" s="12"/>
      <c r="J52" s="12"/>
      <c r="K52" s="12"/>
      <c r="L52" s="12"/>
      <c r="M52" s="12"/>
      <c r="N52" s="12"/>
      <c r="O52" s="12"/>
      <c r="P52" s="12"/>
    </row>
    <row r="53" spans="1:16" s="18" customFormat="1" ht="19.5">
      <c r="A53" s="12"/>
      <c r="B53" s="12"/>
      <c r="C53" s="12"/>
      <c r="D53" s="12"/>
      <c r="E53" s="12"/>
      <c r="F53" s="12"/>
      <c r="G53" s="12"/>
      <c r="H53" s="12"/>
      <c r="I53" s="12"/>
      <c r="J53" s="12"/>
      <c r="K53" s="12"/>
      <c r="L53" s="12"/>
      <c r="M53" s="12"/>
      <c r="N53" s="12"/>
      <c r="O53" s="12"/>
      <c r="P53" s="12"/>
    </row>
    <row r="54" spans="1:16" s="18" customFormat="1" ht="19.5">
      <c r="A54" s="12"/>
      <c r="B54" s="12"/>
      <c r="C54" s="12"/>
      <c r="D54" s="12"/>
      <c r="E54" s="12"/>
      <c r="F54" s="12"/>
      <c r="G54" s="12"/>
      <c r="H54" s="12"/>
      <c r="I54" s="12"/>
      <c r="J54" s="12"/>
      <c r="K54" s="12"/>
      <c r="L54" s="12"/>
      <c r="M54" s="12"/>
      <c r="N54" s="12"/>
      <c r="O54" s="12"/>
      <c r="P54" s="12"/>
    </row>
    <row r="55" spans="1:16">
      <c r="A55" s="7"/>
      <c r="B55" s="7"/>
      <c r="C55" s="7"/>
      <c r="D55" s="7"/>
      <c r="E55" s="7"/>
      <c r="F55" s="7"/>
      <c r="G55" s="7"/>
      <c r="H55" s="7"/>
      <c r="I55" s="7"/>
      <c r="J55" s="7"/>
      <c r="K55" s="7"/>
      <c r="L55" s="7"/>
      <c r="M55" s="7"/>
      <c r="N55" s="7"/>
      <c r="O55" s="7"/>
      <c r="P55" s="7"/>
    </row>
    <row r="56" spans="1:16">
      <c r="A56" s="7"/>
      <c r="B56" s="7"/>
      <c r="C56" s="7"/>
      <c r="D56" s="7"/>
      <c r="E56" s="7"/>
      <c r="F56" s="7"/>
      <c r="G56" s="7"/>
      <c r="H56" s="7"/>
      <c r="I56" s="7"/>
      <c r="J56" s="7"/>
      <c r="K56" s="7"/>
      <c r="L56" s="7"/>
      <c r="M56" s="7"/>
      <c r="N56" s="7"/>
      <c r="O56" s="7"/>
      <c r="P56" s="7"/>
    </row>
    <row r="57" spans="1:16">
      <c r="A57" s="7"/>
      <c r="B57" s="7"/>
      <c r="C57" s="7"/>
      <c r="D57" s="7"/>
      <c r="E57" s="7"/>
      <c r="F57" s="7"/>
      <c r="G57" s="7"/>
      <c r="H57" s="7"/>
      <c r="I57" s="7"/>
      <c r="J57" s="7"/>
      <c r="K57" s="7"/>
      <c r="L57" s="7"/>
      <c r="M57" s="7"/>
      <c r="N57" s="7"/>
      <c r="O57" s="7"/>
      <c r="P57" s="7"/>
    </row>
    <row r="58" spans="1:16" ht="22.5">
      <c r="A58" s="13" t="s">
        <v>126</v>
      </c>
      <c r="B58" s="7"/>
      <c r="C58" s="7"/>
      <c r="D58" s="7"/>
      <c r="E58" s="7"/>
      <c r="F58" s="7"/>
      <c r="G58" s="7"/>
      <c r="H58" s="7"/>
      <c r="I58" s="7"/>
      <c r="J58" s="7"/>
      <c r="K58" s="7"/>
      <c r="L58" s="7"/>
      <c r="M58" s="7"/>
      <c r="N58" s="7"/>
      <c r="O58" s="7"/>
      <c r="P58" s="7"/>
    </row>
    <row r="59" spans="1:16" s="18" customFormat="1" ht="19.5">
      <c r="A59" s="12" t="s">
        <v>34</v>
      </c>
      <c r="B59" s="12"/>
      <c r="C59" s="12"/>
      <c r="D59" s="12"/>
      <c r="E59" s="12"/>
      <c r="F59" s="12"/>
      <c r="G59" s="12"/>
      <c r="H59" s="12"/>
      <c r="I59" s="12"/>
      <c r="J59" s="12"/>
      <c r="K59" s="12"/>
      <c r="L59" s="12"/>
      <c r="M59" s="12"/>
      <c r="N59" s="12"/>
      <c r="O59" s="12"/>
      <c r="P59" s="12"/>
    </row>
    <row r="60" spans="1:16" s="18" customFormat="1" ht="19.5">
      <c r="A60" s="12"/>
      <c r="B60" s="12"/>
      <c r="C60" s="12"/>
      <c r="D60" s="12"/>
      <c r="E60" s="12"/>
      <c r="F60" s="12"/>
      <c r="G60" s="12"/>
      <c r="H60" s="12"/>
      <c r="I60" s="12"/>
      <c r="J60" s="12"/>
      <c r="K60" s="12"/>
      <c r="L60" s="12"/>
      <c r="M60" s="12"/>
      <c r="N60" s="12"/>
      <c r="O60" s="12"/>
      <c r="P60" s="12"/>
    </row>
    <row r="61" spans="1:16" s="18" customFormat="1" ht="19.5">
      <c r="A61" s="12"/>
      <c r="B61" s="12"/>
      <c r="C61" s="12"/>
      <c r="D61" s="12"/>
      <c r="E61" s="12"/>
      <c r="F61" s="12"/>
      <c r="G61" s="12"/>
      <c r="H61" s="12"/>
      <c r="I61" s="12"/>
      <c r="J61" s="12"/>
      <c r="K61" s="12"/>
      <c r="L61" s="12"/>
      <c r="M61" s="12"/>
      <c r="N61" s="12"/>
      <c r="O61" s="12"/>
      <c r="P61" s="12"/>
    </row>
    <row r="62" spans="1:16" s="18" customFormat="1" ht="19.5">
      <c r="A62" s="12"/>
      <c r="B62" s="12"/>
      <c r="C62" s="12"/>
      <c r="D62" s="12"/>
      <c r="E62" s="12"/>
      <c r="F62" s="12"/>
      <c r="G62" s="12"/>
      <c r="H62" s="12"/>
      <c r="I62" s="12"/>
      <c r="J62" s="12"/>
      <c r="K62" s="12"/>
      <c r="L62" s="12"/>
      <c r="M62" s="12"/>
      <c r="N62" s="12"/>
      <c r="O62" s="12"/>
      <c r="P62" s="12"/>
    </row>
    <row r="63" spans="1:16" s="18" customFormat="1" ht="19.5">
      <c r="A63" s="12"/>
      <c r="B63" s="12"/>
      <c r="C63" s="12"/>
      <c r="D63" s="12"/>
      <c r="E63" s="12"/>
      <c r="F63" s="12"/>
      <c r="G63" s="12"/>
      <c r="H63" s="12"/>
      <c r="I63" s="12"/>
      <c r="J63" s="12"/>
      <c r="K63" s="12"/>
      <c r="L63" s="12"/>
      <c r="M63" s="12"/>
      <c r="N63" s="12"/>
      <c r="O63" s="12"/>
      <c r="P63" s="12"/>
    </row>
    <row r="64" spans="1:16" s="18" customFormat="1" ht="6" customHeight="1">
      <c r="A64" s="12"/>
      <c r="B64" s="28"/>
      <c r="C64" s="28"/>
      <c r="D64" s="28"/>
      <c r="E64" s="12"/>
      <c r="F64" s="12"/>
      <c r="G64" s="28"/>
      <c r="H64" s="28"/>
      <c r="I64" s="28"/>
      <c r="J64" s="12"/>
      <c r="K64" s="28"/>
      <c r="L64" s="28"/>
      <c r="M64" s="28"/>
      <c r="N64" s="12"/>
      <c r="O64" s="12"/>
      <c r="P64" s="12"/>
    </row>
    <row r="65" spans="1:16" s="18" customFormat="1" ht="42" customHeight="1">
      <c r="A65" s="12"/>
      <c r="B65" s="128"/>
      <c r="C65" s="204" t="str">
        <f>IF(C66="","",IF(C67="","",IF(C66/C67=H66,"J",IF(L66/100=C66/C67,"J","L"))))</f>
        <v/>
      </c>
      <c r="D65" s="127"/>
      <c r="E65" s="12"/>
      <c r="F65" s="12"/>
      <c r="G65" s="128"/>
      <c r="H65" s="204" t="str">
        <f>IF(H66="","",IF(C66="","",IF(C67="","",IF(C66/C67=H66,"J",IF(L66="","",IF(H66=L66/100,"J","L"))))))</f>
        <v/>
      </c>
      <c r="I65" s="127"/>
      <c r="J65" s="12"/>
      <c r="K65" s="128"/>
      <c r="L65" s="205" t="str">
        <f>IF(L66="","",IF(L66=H66*100,"J","L"))</f>
        <v>J</v>
      </c>
      <c r="M65" s="127"/>
      <c r="N65" s="12"/>
      <c r="O65" s="12"/>
      <c r="P65" s="12"/>
    </row>
    <row r="66" spans="1:16" s="18" customFormat="1" ht="28.5" customHeight="1" thickBot="1">
      <c r="A66" s="12"/>
      <c r="B66" s="126"/>
      <c r="C66" s="125"/>
      <c r="D66" s="126"/>
      <c r="E66" s="12"/>
      <c r="F66" s="12"/>
      <c r="G66" s="126"/>
      <c r="H66" s="206">
        <v>0.2</v>
      </c>
      <c r="I66" s="12"/>
      <c r="J66" s="12"/>
      <c r="K66" s="126"/>
      <c r="L66" s="132">
        <v>20</v>
      </c>
      <c r="M66" s="12"/>
      <c r="N66" s="12"/>
      <c r="O66" s="12"/>
      <c r="P66" s="12"/>
    </row>
    <row r="67" spans="1:16" s="18" customFormat="1" ht="28.5" customHeight="1" thickTop="1">
      <c r="A67" s="12"/>
      <c r="B67" s="126"/>
      <c r="C67" s="124"/>
      <c r="D67" s="126"/>
      <c r="E67" s="12"/>
      <c r="F67" s="12"/>
      <c r="G67" s="126"/>
      <c r="H67" s="211" t="s">
        <v>132</v>
      </c>
      <c r="I67" s="12"/>
      <c r="J67" s="12"/>
      <c r="K67" s="126"/>
      <c r="L67" s="130" t="s">
        <v>102</v>
      </c>
      <c r="M67" s="12"/>
      <c r="N67" s="12"/>
      <c r="O67" s="12"/>
      <c r="P67" s="12"/>
    </row>
    <row r="68" spans="1:16" s="18" customFormat="1" ht="12" customHeight="1">
      <c r="A68" s="12"/>
      <c r="B68" s="12"/>
      <c r="C68" s="127" t="s">
        <v>133</v>
      </c>
      <c r="D68" s="12"/>
      <c r="E68" s="12"/>
      <c r="F68" s="12"/>
      <c r="G68" s="12"/>
      <c r="H68" s="127"/>
      <c r="I68" s="12"/>
      <c r="J68" s="12"/>
      <c r="K68" s="12"/>
      <c r="L68" s="127" t="s">
        <v>134</v>
      </c>
      <c r="M68" s="12"/>
      <c r="N68" s="12"/>
      <c r="O68" s="12"/>
      <c r="P68" s="12"/>
    </row>
    <row r="69" spans="1:16" s="18" customFormat="1" ht="19.5">
      <c r="A69" s="12"/>
      <c r="B69" s="12"/>
      <c r="C69" s="12"/>
      <c r="D69" s="12"/>
      <c r="E69" s="12"/>
      <c r="F69" s="12"/>
      <c r="G69" s="12"/>
      <c r="H69" s="12"/>
      <c r="I69" s="12"/>
      <c r="J69" s="12"/>
      <c r="K69" s="12"/>
      <c r="L69" s="12"/>
      <c r="M69" s="12"/>
      <c r="N69" s="12"/>
      <c r="O69" s="12"/>
      <c r="P69" s="12"/>
    </row>
    <row r="70" spans="1:16" s="18" customFormat="1" ht="19.5">
      <c r="A70" s="12"/>
      <c r="B70" s="12"/>
      <c r="C70" s="12"/>
      <c r="D70" s="12"/>
      <c r="E70" s="12"/>
      <c r="F70" s="12"/>
      <c r="G70" s="12"/>
      <c r="H70" s="12"/>
      <c r="I70" s="12"/>
      <c r="J70" s="12"/>
      <c r="K70" s="12"/>
      <c r="L70" s="12"/>
      <c r="M70" s="12"/>
      <c r="N70" s="12"/>
      <c r="O70" s="12"/>
      <c r="P70" s="12"/>
    </row>
    <row r="71" spans="1:16" s="18" customFormat="1" ht="19.5">
      <c r="A71" s="12"/>
      <c r="B71" s="12"/>
      <c r="C71" s="12"/>
      <c r="D71" s="12"/>
      <c r="E71" s="12"/>
      <c r="F71" s="12"/>
      <c r="G71" s="12"/>
      <c r="H71" s="12"/>
      <c r="I71" s="12"/>
      <c r="J71" s="12"/>
      <c r="K71" s="12"/>
      <c r="L71" s="12"/>
      <c r="M71" s="12"/>
      <c r="N71" s="12"/>
      <c r="O71" s="12"/>
      <c r="P71" s="12"/>
    </row>
    <row r="72" spans="1:16" s="18" customFormat="1" ht="19.5">
      <c r="A72" s="12"/>
      <c r="B72" s="12"/>
      <c r="C72" s="12"/>
      <c r="D72" s="12"/>
      <c r="E72" s="12"/>
      <c r="F72" s="12"/>
      <c r="G72" s="12"/>
      <c r="H72" s="12"/>
      <c r="I72" s="12"/>
      <c r="J72" s="12"/>
      <c r="K72" s="12"/>
      <c r="L72" s="12"/>
      <c r="M72" s="12"/>
      <c r="N72" s="12"/>
      <c r="O72" s="12"/>
      <c r="P72" s="12"/>
    </row>
    <row r="73" spans="1:16" s="18" customFormat="1" ht="19.5">
      <c r="A73" s="12"/>
      <c r="B73" s="12"/>
      <c r="C73" s="12"/>
      <c r="D73" s="12"/>
      <c r="E73" s="12"/>
      <c r="F73" s="12"/>
      <c r="G73" s="12"/>
      <c r="H73" s="12"/>
      <c r="I73" s="12"/>
      <c r="J73" s="12"/>
      <c r="K73" s="12"/>
      <c r="L73" s="12"/>
      <c r="M73" s="12"/>
      <c r="N73" s="12"/>
      <c r="O73" s="12"/>
      <c r="P73" s="12"/>
    </row>
    <row r="74" spans="1:16" s="18" customFormat="1" ht="19.5">
      <c r="A74" s="12"/>
      <c r="B74" s="12"/>
      <c r="C74" s="12"/>
      <c r="D74" s="12"/>
      <c r="E74" s="12"/>
      <c r="F74" s="12"/>
      <c r="G74" s="12"/>
      <c r="H74" s="12"/>
      <c r="I74" s="12"/>
      <c r="J74" s="12"/>
      <c r="K74" s="12"/>
      <c r="L74" s="12"/>
      <c r="M74" s="12"/>
      <c r="N74" s="12"/>
      <c r="O74" s="12"/>
      <c r="P74" s="12"/>
    </row>
    <row r="75" spans="1:16" s="18" customFormat="1" ht="19.5">
      <c r="A75" s="12"/>
      <c r="B75" s="12"/>
      <c r="C75" s="12"/>
      <c r="D75" s="12"/>
      <c r="E75" s="12"/>
      <c r="F75" s="12"/>
      <c r="G75" s="12"/>
      <c r="H75" s="12"/>
      <c r="I75" s="12"/>
      <c r="J75" s="12"/>
      <c r="K75" s="12"/>
      <c r="L75" s="12"/>
      <c r="M75" s="12"/>
      <c r="N75" s="12"/>
      <c r="O75" s="12"/>
      <c r="P75" s="12"/>
    </row>
    <row r="76" spans="1:16" s="18" customFormat="1" ht="19.5">
      <c r="A76" s="12"/>
      <c r="B76" s="12"/>
      <c r="C76" s="12"/>
      <c r="D76" s="12"/>
      <c r="E76" s="12"/>
      <c r="F76" s="12"/>
      <c r="G76" s="12"/>
      <c r="H76" s="12"/>
      <c r="I76" s="12"/>
      <c r="J76" s="12"/>
      <c r="K76" s="12"/>
      <c r="L76" s="12"/>
      <c r="M76" s="12"/>
      <c r="N76" s="12"/>
      <c r="O76" s="12"/>
      <c r="P76" s="12"/>
    </row>
    <row r="77" spans="1:16" s="18" customFormat="1" ht="19.5">
      <c r="A77" s="12"/>
      <c r="B77" s="12"/>
      <c r="C77" s="12"/>
      <c r="D77" s="12"/>
      <c r="E77" s="12"/>
      <c r="F77" s="12"/>
      <c r="G77" s="12"/>
      <c r="H77" s="12"/>
      <c r="I77" s="12"/>
      <c r="J77" s="12"/>
      <c r="K77" s="12"/>
      <c r="L77" s="12"/>
      <c r="M77" s="12"/>
      <c r="N77" s="12"/>
      <c r="O77" s="12"/>
      <c r="P77" s="12"/>
    </row>
    <row r="78" spans="1:16" ht="22.5">
      <c r="A78" s="13" t="s">
        <v>131</v>
      </c>
      <c r="B78" s="7"/>
      <c r="C78" s="7"/>
      <c r="D78" s="7"/>
      <c r="E78" s="7"/>
      <c r="F78" s="7"/>
      <c r="G78" s="7"/>
      <c r="H78" s="7"/>
      <c r="I78" s="7"/>
      <c r="J78" s="7"/>
      <c r="K78" s="7"/>
      <c r="L78" s="7"/>
      <c r="M78" s="7"/>
      <c r="N78" s="7"/>
      <c r="O78" s="7"/>
      <c r="P78" s="7"/>
    </row>
    <row r="79" spans="1:16" s="18" customFormat="1" ht="19.5">
      <c r="A79" s="12" t="s">
        <v>34</v>
      </c>
      <c r="B79" s="12"/>
      <c r="C79" s="12"/>
      <c r="D79" s="12"/>
      <c r="E79" s="12"/>
      <c r="F79" s="12"/>
      <c r="G79" s="12"/>
      <c r="H79" s="12"/>
      <c r="I79" s="12"/>
      <c r="J79" s="12"/>
      <c r="K79" s="12"/>
      <c r="L79" s="12"/>
      <c r="M79" s="12"/>
      <c r="N79" s="12"/>
      <c r="O79" s="12"/>
      <c r="P79" s="12"/>
    </row>
    <row r="80" spans="1:16" s="18" customFormat="1" ht="19.5">
      <c r="A80" s="12"/>
      <c r="B80" s="12"/>
      <c r="C80" s="12"/>
      <c r="D80" s="12"/>
      <c r="E80" s="12"/>
      <c r="F80" s="12"/>
      <c r="G80" s="12"/>
      <c r="H80" s="12"/>
      <c r="I80" s="12"/>
      <c r="J80" s="12"/>
      <c r="K80" s="12"/>
      <c r="L80" s="12"/>
      <c r="M80" s="12"/>
      <c r="N80" s="12"/>
      <c r="O80" s="12"/>
      <c r="P80" s="12"/>
    </row>
    <row r="81" spans="1:16" s="18" customFormat="1" ht="19.5">
      <c r="A81" s="12"/>
      <c r="B81" s="12"/>
      <c r="C81" s="12"/>
      <c r="D81" s="12"/>
      <c r="E81" s="12"/>
      <c r="F81" s="12"/>
      <c r="G81" s="12"/>
      <c r="H81" s="12"/>
      <c r="I81" s="12"/>
      <c r="J81" s="12"/>
      <c r="K81" s="12"/>
      <c r="L81" s="12"/>
      <c r="M81" s="12"/>
      <c r="N81" s="12"/>
      <c r="O81" s="12"/>
      <c r="P81" s="12"/>
    </row>
    <row r="82" spans="1:16" s="18" customFormat="1" ht="19.5">
      <c r="A82" s="12"/>
      <c r="B82" s="12"/>
      <c r="C82" s="12"/>
      <c r="D82" s="12"/>
      <c r="E82" s="12"/>
      <c r="F82" s="12"/>
      <c r="G82" s="12"/>
      <c r="H82" s="12"/>
      <c r="I82" s="12"/>
      <c r="J82" s="12"/>
      <c r="K82" s="12"/>
      <c r="L82" s="12"/>
      <c r="M82" s="12"/>
      <c r="N82" s="12"/>
      <c r="O82" s="12"/>
      <c r="P82" s="12"/>
    </row>
    <row r="83" spans="1:16" s="18" customFormat="1" ht="19.5">
      <c r="A83" s="12"/>
      <c r="B83" s="12"/>
      <c r="C83" s="12"/>
      <c r="D83" s="12"/>
      <c r="E83" s="12"/>
      <c r="F83" s="12"/>
      <c r="G83" s="12"/>
      <c r="H83" s="12"/>
      <c r="I83" s="12"/>
      <c r="J83" s="12"/>
      <c r="K83" s="12"/>
      <c r="L83" s="12"/>
      <c r="M83" s="12"/>
      <c r="N83" s="12"/>
      <c r="O83" s="12"/>
      <c r="P83" s="12"/>
    </row>
    <row r="84" spans="1:16" s="18" customFormat="1" ht="6" customHeight="1">
      <c r="A84" s="12"/>
      <c r="B84" s="28"/>
      <c r="C84" s="28"/>
      <c r="D84" s="28"/>
      <c r="E84" s="12"/>
      <c r="F84" s="12"/>
      <c r="G84" s="28"/>
      <c r="H84" s="28"/>
      <c r="I84" s="28"/>
      <c r="J84" s="12"/>
      <c r="K84" s="28"/>
      <c r="L84" s="28"/>
      <c r="M84" s="28"/>
      <c r="N84" s="12"/>
      <c r="O84" s="12"/>
      <c r="P84" s="12"/>
    </row>
    <row r="85" spans="1:16" s="18" customFormat="1" ht="42" customHeight="1">
      <c r="A85" s="12"/>
      <c r="B85" s="128"/>
      <c r="C85" s="204" t="str">
        <f>IF(C86="","",IF(C87="","",IF(C86/C87=L86/100,"J","L")))</f>
        <v>J</v>
      </c>
      <c r="D85" s="127"/>
      <c r="E85" s="12"/>
      <c r="F85" s="12"/>
      <c r="G85" s="128"/>
      <c r="H85" s="204" t="str">
        <f>IF(H86="","",IF(H86=L86/100,"J","L"))</f>
        <v>J</v>
      </c>
      <c r="I85" s="127"/>
      <c r="J85" s="12"/>
      <c r="K85" s="128"/>
      <c r="L85" s="205" t="str">
        <f>IF(L86="","",IF(L86=H86*100,"J","L"))</f>
        <v>J</v>
      </c>
      <c r="M85" s="127"/>
      <c r="N85" s="12"/>
      <c r="O85" s="12"/>
      <c r="P85" s="12"/>
    </row>
    <row r="86" spans="1:16" s="18" customFormat="1" ht="28.5" customHeight="1" thickBot="1">
      <c r="A86" s="12"/>
      <c r="B86" s="126"/>
      <c r="C86" s="125">
        <v>24</v>
      </c>
      <c r="D86" s="126"/>
      <c r="E86" s="12"/>
      <c r="F86" s="12"/>
      <c r="G86" s="126"/>
      <c r="H86" s="209">
        <v>0.24</v>
      </c>
      <c r="I86" s="12"/>
      <c r="J86" s="12"/>
      <c r="K86" s="126"/>
      <c r="L86" s="210">
        <v>24</v>
      </c>
      <c r="M86" s="12"/>
      <c r="N86" s="12"/>
      <c r="O86" s="12"/>
      <c r="P86" s="12"/>
    </row>
    <row r="87" spans="1:16" s="18" customFormat="1" ht="28.5" customHeight="1" thickTop="1">
      <c r="A87" s="12"/>
      <c r="B87" s="126"/>
      <c r="C87" s="124">
        <v>100</v>
      </c>
      <c r="D87" s="126"/>
      <c r="E87" s="12"/>
      <c r="F87" s="12"/>
      <c r="G87" s="126"/>
      <c r="H87" s="211" t="s">
        <v>132</v>
      </c>
      <c r="I87" s="12"/>
      <c r="J87" s="12"/>
      <c r="K87" s="126"/>
      <c r="L87" s="130" t="s">
        <v>102</v>
      </c>
      <c r="M87" s="12"/>
      <c r="N87" s="12"/>
      <c r="O87" s="12"/>
      <c r="P87" s="12"/>
    </row>
    <row r="88" spans="1:16" s="18" customFormat="1" ht="12" customHeight="1">
      <c r="A88" s="12"/>
      <c r="B88" s="12"/>
      <c r="C88" s="127" t="s">
        <v>133</v>
      </c>
      <c r="D88" s="12"/>
      <c r="E88" s="12"/>
      <c r="F88" s="12"/>
      <c r="G88" s="12"/>
      <c r="H88" s="127"/>
      <c r="I88" s="12"/>
      <c r="J88" s="12"/>
      <c r="K88" s="12"/>
      <c r="L88" s="127" t="s">
        <v>134</v>
      </c>
      <c r="M88" s="12"/>
      <c r="N88" s="12"/>
      <c r="O88" s="12"/>
      <c r="P88" s="12"/>
    </row>
    <row r="89" spans="1:16" s="18" customFormat="1" ht="19.5">
      <c r="A89" s="12"/>
      <c r="B89" s="12"/>
      <c r="C89" s="12"/>
      <c r="D89" s="12"/>
      <c r="E89" s="12"/>
      <c r="F89" s="12"/>
      <c r="G89" s="12"/>
      <c r="H89" s="12"/>
      <c r="I89" s="12"/>
      <c r="J89" s="12"/>
      <c r="K89" s="12"/>
      <c r="L89" s="12"/>
      <c r="M89" s="12"/>
      <c r="N89" s="12"/>
      <c r="O89" s="12"/>
      <c r="P89" s="12"/>
    </row>
    <row r="90" spans="1:16" s="18" customFormat="1" ht="19.5">
      <c r="A90" s="12"/>
      <c r="B90" s="12"/>
      <c r="C90" s="12"/>
      <c r="D90" s="12"/>
      <c r="E90" s="12"/>
      <c r="F90" s="12"/>
      <c r="G90" s="12"/>
      <c r="H90" s="12"/>
      <c r="I90" s="12"/>
      <c r="J90" s="12"/>
      <c r="K90" s="12"/>
      <c r="L90" s="12"/>
      <c r="M90" s="12"/>
      <c r="N90" s="12"/>
      <c r="O90" s="12"/>
      <c r="P90" s="12"/>
    </row>
    <row r="91" spans="1:16" s="18" customFormat="1" ht="19.5">
      <c r="A91" s="12"/>
      <c r="B91" s="12"/>
      <c r="C91" s="12"/>
      <c r="D91" s="12"/>
      <c r="E91" s="12"/>
      <c r="F91" s="12"/>
      <c r="G91" s="12"/>
      <c r="H91" s="12"/>
      <c r="I91" s="12"/>
      <c r="J91" s="12"/>
      <c r="K91" s="12"/>
      <c r="L91" s="12"/>
      <c r="M91" s="12"/>
      <c r="N91" s="12"/>
      <c r="O91" s="12"/>
      <c r="P91" s="12"/>
    </row>
    <row r="92" spans="1:16" s="18" customFormat="1" ht="19.5">
      <c r="A92" s="12"/>
      <c r="B92" s="12"/>
      <c r="C92" s="12"/>
      <c r="D92" s="12"/>
      <c r="E92" s="12"/>
      <c r="F92" s="12"/>
      <c r="G92" s="12"/>
      <c r="H92" s="12"/>
      <c r="I92" s="12"/>
      <c r="J92" s="12"/>
      <c r="K92" s="12"/>
      <c r="L92" s="12"/>
      <c r="M92" s="12"/>
      <c r="N92" s="12"/>
      <c r="O92" s="12"/>
      <c r="P92" s="12"/>
    </row>
    <row r="93" spans="1:16" s="18" customFormat="1" ht="19.5">
      <c r="A93" s="12"/>
      <c r="B93" s="12"/>
      <c r="C93" s="12"/>
      <c r="D93" s="12"/>
      <c r="E93" s="12"/>
      <c r="F93" s="12"/>
      <c r="G93" s="12"/>
      <c r="H93" s="12"/>
      <c r="I93" s="12"/>
      <c r="J93" s="12"/>
      <c r="K93" s="12"/>
      <c r="L93" s="12"/>
      <c r="M93" s="12"/>
      <c r="N93" s="12"/>
      <c r="O93" s="12"/>
      <c r="P93" s="12"/>
    </row>
    <row r="94" spans="1:16" s="18" customFormat="1" ht="19.5">
      <c r="A94" s="12"/>
      <c r="B94" s="12"/>
      <c r="C94" s="12"/>
      <c r="D94" s="12"/>
      <c r="E94" s="12"/>
      <c r="F94" s="12"/>
      <c r="G94" s="12"/>
      <c r="H94" s="12"/>
      <c r="I94" s="12"/>
      <c r="J94" s="12"/>
      <c r="K94" s="12"/>
      <c r="L94" s="12"/>
      <c r="M94" s="12"/>
      <c r="N94" s="12"/>
      <c r="O94" s="12"/>
      <c r="P94" s="12"/>
    </row>
    <row r="95" spans="1:16" s="18" customFormat="1" ht="19.5">
      <c r="A95" s="12"/>
      <c r="B95" s="12"/>
      <c r="C95" s="12"/>
      <c r="D95" s="12"/>
      <c r="E95" s="12"/>
      <c r="F95" s="12"/>
      <c r="G95" s="12"/>
      <c r="H95" s="12"/>
      <c r="I95" s="12"/>
      <c r="J95" s="12"/>
      <c r="K95" s="12"/>
      <c r="L95" s="12"/>
      <c r="M95" s="12"/>
      <c r="N95" s="12"/>
      <c r="O95" s="12"/>
      <c r="P95" s="12"/>
    </row>
    <row r="96" spans="1:16" s="18" customFormat="1" ht="19.5">
      <c r="A96" s="12"/>
      <c r="B96" s="12"/>
      <c r="C96" s="12"/>
      <c r="D96" s="12"/>
      <c r="E96" s="12"/>
      <c r="F96" s="12"/>
      <c r="G96" s="12"/>
      <c r="H96" s="12"/>
      <c r="I96" s="12"/>
      <c r="J96" s="12"/>
      <c r="K96" s="12"/>
      <c r="L96" s="12"/>
      <c r="M96" s="12"/>
      <c r="N96" s="12"/>
      <c r="O96" s="12"/>
      <c r="P96" s="12"/>
    </row>
    <row r="97" spans="1:16" ht="22.5">
      <c r="A97" s="13" t="s">
        <v>135</v>
      </c>
      <c r="B97" s="7"/>
      <c r="C97" s="7"/>
      <c r="D97" s="7"/>
      <c r="E97" s="7"/>
      <c r="F97" s="7"/>
      <c r="G97" s="7"/>
      <c r="H97" s="7"/>
      <c r="I97" s="7"/>
      <c r="J97" s="7"/>
      <c r="K97" s="7"/>
      <c r="L97" s="7"/>
      <c r="M97" s="7"/>
      <c r="N97" s="7"/>
      <c r="O97" s="7"/>
      <c r="P97" s="7"/>
    </row>
    <row r="98" spans="1:16" s="18" customFormat="1" ht="19.5">
      <c r="A98" s="12" t="s">
        <v>34</v>
      </c>
      <c r="B98" s="12"/>
      <c r="C98" s="12"/>
      <c r="D98" s="12"/>
      <c r="E98" s="12"/>
      <c r="F98" s="12"/>
      <c r="G98" s="12"/>
      <c r="H98" s="12"/>
      <c r="I98" s="12"/>
      <c r="J98" s="12"/>
      <c r="K98" s="12"/>
      <c r="L98" s="12"/>
      <c r="M98" s="12"/>
      <c r="N98" s="12"/>
      <c r="O98" s="12"/>
      <c r="P98" s="12"/>
    </row>
    <row r="99" spans="1:16" s="18" customFormat="1" ht="19.5">
      <c r="A99" s="12"/>
      <c r="B99" s="12"/>
      <c r="C99" s="12"/>
      <c r="D99" s="12"/>
      <c r="E99" s="12"/>
      <c r="F99" s="12"/>
      <c r="G99" s="12"/>
      <c r="H99" s="12"/>
      <c r="I99" s="12"/>
      <c r="J99" s="12"/>
      <c r="K99" s="12"/>
      <c r="L99" s="12"/>
      <c r="M99" s="12"/>
      <c r="N99" s="12"/>
      <c r="O99" s="12"/>
      <c r="P99" s="12"/>
    </row>
    <row r="100" spans="1:16" s="18" customFormat="1" ht="19.5">
      <c r="A100" s="12"/>
      <c r="B100" s="12"/>
      <c r="C100" s="12"/>
      <c r="D100" s="12"/>
      <c r="E100" s="12"/>
      <c r="F100" s="12"/>
      <c r="G100" s="12"/>
      <c r="H100" s="12"/>
      <c r="I100" s="12"/>
      <c r="J100" s="12"/>
      <c r="K100" s="12"/>
      <c r="L100" s="12"/>
      <c r="M100" s="12"/>
      <c r="N100" s="12"/>
      <c r="O100" s="12"/>
      <c r="P100" s="12"/>
    </row>
    <row r="101" spans="1:16" s="18" customFormat="1" ht="19.5">
      <c r="A101" s="12"/>
      <c r="B101" s="12"/>
      <c r="C101" s="12"/>
      <c r="D101" s="12"/>
      <c r="E101" s="12"/>
      <c r="F101" s="12"/>
      <c r="G101" s="12"/>
      <c r="H101" s="12"/>
      <c r="I101" s="12"/>
      <c r="J101" s="12"/>
      <c r="K101" s="12"/>
      <c r="L101" s="12"/>
      <c r="M101" s="12"/>
      <c r="N101" s="12"/>
      <c r="O101" s="12"/>
      <c r="P101" s="12"/>
    </row>
    <row r="102" spans="1:16" s="18" customFormat="1" ht="19.5">
      <c r="A102" s="12"/>
      <c r="B102" s="12"/>
      <c r="C102" s="12"/>
      <c r="D102" s="12"/>
      <c r="E102" s="12"/>
      <c r="F102" s="12"/>
      <c r="G102" s="12"/>
      <c r="H102" s="12"/>
      <c r="I102" s="12"/>
      <c r="J102" s="12"/>
      <c r="K102" s="12"/>
      <c r="L102" s="12"/>
      <c r="M102" s="12"/>
      <c r="N102" s="12"/>
      <c r="O102" s="12"/>
      <c r="P102" s="12"/>
    </row>
    <row r="103" spans="1:16" s="18" customFormat="1" ht="6" customHeight="1">
      <c r="A103" s="12"/>
      <c r="B103" s="28"/>
      <c r="C103" s="28"/>
      <c r="D103" s="28"/>
      <c r="E103" s="12"/>
      <c r="F103" s="12"/>
      <c r="G103" s="28"/>
      <c r="H103" s="28"/>
      <c r="I103" s="28"/>
      <c r="J103" s="12"/>
      <c r="K103" s="28"/>
      <c r="L103" s="28"/>
      <c r="M103" s="28"/>
      <c r="N103" s="12"/>
      <c r="O103" s="12"/>
      <c r="P103" s="12"/>
    </row>
    <row r="104" spans="1:16" s="18" customFormat="1" ht="42" customHeight="1">
      <c r="A104" s="12"/>
      <c r="B104" s="128"/>
      <c r="C104" s="204" t="str">
        <f>IF(C105="","",IF(C106="","",IF(C105/C106=L105/100,"J","L")))</f>
        <v>J</v>
      </c>
      <c r="D104" s="127"/>
      <c r="E104" s="12"/>
      <c r="F104" s="12"/>
      <c r="G104" s="128"/>
      <c r="H104" s="204" t="str">
        <f>IF(H105="","",IF(H105=C105/C106,"J","L"))</f>
        <v>J</v>
      </c>
      <c r="I104" s="127"/>
      <c r="J104" s="12"/>
      <c r="K104" s="128"/>
      <c r="L104" s="205" t="str">
        <f>IF(L105="","",IF(L105=C105*100/C106,"J","L"))</f>
        <v>J</v>
      </c>
      <c r="M104" s="127"/>
      <c r="N104" s="12"/>
      <c r="O104" s="12"/>
      <c r="P104" s="12"/>
    </row>
    <row r="105" spans="1:16" s="18" customFormat="1" ht="28.5" customHeight="1" thickBot="1">
      <c r="A105" s="12"/>
      <c r="B105" s="126"/>
      <c r="C105" s="212">
        <v>36</v>
      </c>
      <c r="D105" s="126"/>
      <c r="E105" s="12"/>
      <c r="F105" s="12"/>
      <c r="G105" s="126"/>
      <c r="H105" s="209">
        <v>0.9</v>
      </c>
      <c r="I105" s="12"/>
      <c r="J105" s="12"/>
      <c r="K105" s="126"/>
      <c r="L105" s="214">
        <v>90</v>
      </c>
      <c r="M105" s="12"/>
      <c r="N105" s="12"/>
      <c r="O105" s="12"/>
      <c r="P105" s="12"/>
    </row>
    <row r="106" spans="1:16" s="18" customFormat="1" ht="28.5" customHeight="1" thickTop="1">
      <c r="A106" s="12"/>
      <c r="B106" s="126"/>
      <c r="C106" s="213">
        <v>40</v>
      </c>
      <c r="D106" s="126"/>
      <c r="E106" s="12"/>
      <c r="F106" s="12"/>
      <c r="G106" s="126"/>
      <c r="H106" s="211" t="s">
        <v>132</v>
      </c>
      <c r="I106" s="12"/>
      <c r="J106" s="12"/>
      <c r="K106" s="126"/>
      <c r="L106" s="130" t="s">
        <v>102</v>
      </c>
      <c r="M106" s="12"/>
      <c r="N106" s="12"/>
      <c r="O106" s="12"/>
      <c r="P106" s="12"/>
    </row>
    <row r="107" spans="1:16" s="18" customFormat="1" ht="12" customHeight="1">
      <c r="A107" s="12"/>
      <c r="B107" s="12"/>
      <c r="C107" s="127" t="s">
        <v>133</v>
      </c>
      <c r="D107" s="12"/>
      <c r="E107" s="12"/>
      <c r="F107" s="12"/>
      <c r="G107" s="12"/>
      <c r="H107" s="127"/>
      <c r="I107" s="12"/>
      <c r="J107" s="12"/>
      <c r="K107" s="12"/>
      <c r="L107" s="127" t="s">
        <v>134</v>
      </c>
      <c r="M107" s="12"/>
      <c r="N107" s="12"/>
      <c r="O107" s="12"/>
      <c r="P107" s="12"/>
    </row>
    <row r="108" spans="1:16" s="18" customFormat="1" ht="19.5">
      <c r="A108" s="12"/>
      <c r="B108" s="12"/>
      <c r="C108" s="12"/>
      <c r="D108" s="12"/>
      <c r="E108" s="12"/>
      <c r="F108" s="12"/>
      <c r="G108" s="12"/>
      <c r="H108" s="12"/>
      <c r="I108" s="12"/>
      <c r="J108" s="12"/>
      <c r="K108" s="12"/>
      <c r="L108" s="12"/>
      <c r="M108" s="12"/>
      <c r="N108" s="12"/>
      <c r="O108" s="12"/>
      <c r="P108" s="12"/>
    </row>
    <row r="109" spans="1:16" s="18" customFormat="1" ht="19.5">
      <c r="A109" s="12"/>
      <c r="B109" s="12"/>
      <c r="C109" s="12"/>
      <c r="D109" s="12"/>
      <c r="E109" s="12"/>
      <c r="F109" s="12"/>
      <c r="G109" s="12"/>
      <c r="H109" s="12"/>
      <c r="I109" s="12"/>
      <c r="J109" s="12"/>
      <c r="K109" s="12"/>
      <c r="L109" s="12"/>
      <c r="M109" s="12"/>
      <c r="N109" s="12"/>
      <c r="O109" s="12"/>
      <c r="P109" s="12"/>
    </row>
    <row r="110" spans="1:16" s="18" customFormat="1" ht="19.5">
      <c r="A110" s="12"/>
      <c r="B110" s="12"/>
      <c r="C110" s="12"/>
      <c r="D110" s="12"/>
      <c r="E110" s="12"/>
      <c r="F110" s="12"/>
      <c r="G110" s="12"/>
      <c r="H110" s="12"/>
      <c r="I110" s="12"/>
      <c r="J110" s="12"/>
      <c r="K110" s="12"/>
      <c r="L110" s="12"/>
      <c r="M110" s="12"/>
      <c r="N110" s="12"/>
      <c r="O110" s="12"/>
      <c r="P110" s="12"/>
    </row>
    <row r="111" spans="1:16" s="18" customFormat="1" ht="19.5">
      <c r="A111" s="12"/>
      <c r="B111" s="12"/>
      <c r="C111" s="12"/>
      <c r="D111" s="12"/>
      <c r="E111" s="12"/>
      <c r="F111" s="12"/>
      <c r="G111" s="12"/>
      <c r="H111" s="12"/>
      <c r="I111" s="12"/>
      <c r="J111" s="12"/>
      <c r="K111" s="12"/>
      <c r="L111" s="12"/>
      <c r="M111" s="12"/>
      <c r="N111" s="12"/>
      <c r="O111" s="12"/>
      <c r="P111" s="12"/>
    </row>
    <row r="112" spans="1:16" s="18" customFormat="1" ht="19.5">
      <c r="A112" s="12"/>
      <c r="B112" s="12"/>
      <c r="C112" s="12"/>
      <c r="D112" s="12"/>
      <c r="E112" s="12"/>
      <c r="F112" s="12"/>
      <c r="G112" s="12"/>
      <c r="H112" s="12"/>
      <c r="I112" s="12"/>
      <c r="J112" s="12"/>
      <c r="K112" s="12"/>
      <c r="L112" s="12"/>
      <c r="M112" s="12"/>
      <c r="N112" s="12"/>
      <c r="O112" s="12"/>
      <c r="P112" s="12"/>
    </row>
    <row r="113" spans="1:16" s="18" customFormat="1" ht="19.5">
      <c r="A113" s="12"/>
      <c r="B113" s="12"/>
      <c r="C113" s="12"/>
      <c r="D113" s="12"/>
      <c r="E113" s="12"/>
      <c r="F113" s="12"/>
      <c r="G113" s="12"/>
      <c r="H113" s="12"/>
      <c r="I113" s="12"/>
      <c r="J113" s="12"/>
      <c r="K113" s="12"/>
      <c r="L113" s="12"/>
      <c r="M113" s="12"/>
      <c r="N113" s="12"/>
      <c r="O113" s="12"/>
      <c r="P113" s="12"/>
    </row>
    <row r="114" spans="1:16" s="18" customFormat="1" ht="19.5">
      <c r="A114" s="12"/>
      <c r="B114" s="12"/>
      <c r="C114" s="12"/>
      <c r="D114" s="12"/>
      <c r="E114" s="12"/>
      <c r="F114" s="12"/>
      <c r="G114" s="12"/>
      <c r="H114" s="12"/>
      <c r="I114" s="12"/>
      <c r="J114" s="12"/>
      <c r="K114" s="12"/>
      <c r="L114" s="12"/>
      <c r="M114" s="12"/>
      <c r="N114" s="12"/>
      <c r="O114" s="12"/>
      <c r="P114" s="12"/>
    </row>
    <row r="115" spans="1:16" s="18" customFormat="1" ht="19.5">
      <c r="A115" s="12"/>
      <c r="B115" s="12"/>
      <c r="C115" s="12"/>
      <c r="D115" s="12"/>
      <c r="E115" s="12"/>
      <c r="F115" s="12"/>
      <c r="G115" s="12"/>
      <c r="H115" s="12"/>
      <c r="I115" s="12"/>
      <c r="J115" s="12"/>
      <c r="K115" s="12"/>
      <c r="L115" s="12"/>
      <c r="M115" s="12"/>
      <c r="N115" s="12"/>
      <c r="O115" s="12"/>
      <c r="P115" s="12"/>
    </row>
    <row r="116" spans="1:16" s="18" customFormat="1" ht="19.5">
      <c r="A116" s="12"/>
      <c r="B116" s="12"/>
      <c r="C116" s="12"/>
      <c r="D116" s="12"/>
      <c r="E116" s="12"/>
      <c r="F116" s="12"/>
      <c r="G116" s="12"/>
      <c r="H116" s="12"/>
      <c r="I116" s="12"/>
      <c r="J116" s="12"/>
      <c r="K116" s="12"/>
      <c r="L116" s="12"/>
      <c r="M116" s="12"/>
      <c r="N116" s="12"/>
      <c r="O116" s="12"/>
      <c r="P116" s="12"/>
    </row>
    <row r="117" spans="1:16">
      <c r="A117" s="7"/>
      <c r="B117" s="7"/>
      <c r="C117" s="7"/>
      <c r="D117" s="7"/>
      <c r="E117" s="7"/>
      <c r="F117" s="7"/>
      <c r="G117" s="7"/>
      <c r="H117" s="7"/>
      <c r="I117" s="7"/>
      <c r="J117" s="7"/>
      <c r="K117" s="7"/>
      <c r="L117" s="7"/>
      <c r="M117" s="7"/>
      <c r="N117" s="7"/>
      <c r="O117" s="7"/>
      <c r="P117" s="7"/>
    </row>
    <row r="118" spans="1:16">
      <c r="A118" s="7"/>
      <c r="B118" s="7"/>
      <c r="C118" s="7"/>
      <c r="D118" s="7"/>
      <c r="E118" s="7"/>
      <c r="F118" s="7"/>
      <c r="G118" s="7"/>
      <c r="H118" s="7"/>
      <c r="I118" s="7"/>
      <c r="J118" s="7"/>
      <c r="K118" s="7"/>
      <c r="L118" s="7"/>
      <c r="M118" s="7"/>
      <c r="N118" s="7"/>
      <c r="O118" s="7"/>
      <c r="P118" s="7"/>
    </row>
    <row r="119" spans="1:16">
      <c r="A119" s="7"/>
      <c r="B119" s="7"/>
      <c r="C119" s="7"/>
      <c r="D119" s="7"/>
      <c r="E119" s="7"/>
      <c r="F119" s="7"/>
      <c r="G119" s="7"/>
      <c r="H119" s="7"/>
      <c r="I119" s="7"/>
      <c r="J119" s="7"/>
      <c r="K119" s="7"/>
      <c r="L119" s="7"/>
      <c r="M119" s="7"/>
      <c r="N119" s="7"/>
      <c r="O119" s="7"/>
      <c r="P119" s="7"/>
    </row>
    <row r="120" spans="1:16">
      <c r="A120" s="7"/>
      <c r="B120" s="7"/>
      <c r="C120" s="7"/>
      <c r="D120" s="7"/>
      <c r="E120" s="7"/>
      <c r="F120" s="7"/>
      <c r="G120" s="7"/>
      <c r="H120" s="7"/>
      <c r="I120" s="7"/>
      <c r="J120" s="7"/>
      <c r="K120" s="7"/>
      <c r="L120" s="7"/>
      <c r="M120" s="7"/>
      <c r="N120" s="7"/>
      <c r="O120" s="7"/>
      <c r="P120" s="7"/>
    </row>
    <row r="121" spans="1:16" ht="19.5">
      <c r="A121" s="12"/>
      <c r="B121" s="12"/>
      <c r="C121" s="12"/>
      <c r="D121" s="12"/>
      <c r="E121" s="12"/>
      <c r="F121" s="12"/>
      <c r="G121" s="12"/>
      <c r="H121" s="12"/>
      <c r="I121" s="12"/>
      <c r="J121" s="12"/>
      <c r="K121" s="12"/>
      <c r="L121" s="12"/>
      <c r="M121" s="12"/>
      <c r="N121" s="12"/>
      <c r="O121" s="12"/>
      <c r="P121" s="12"/>
    </row>
    <row r="122" spans="1:16">
      <c r="A122" s="7"/>
      <c r="B122" s="7"/>
      <c r="C122" s="7"/>
      <c r="D122" s="7"/>
      <c r="E122" s="7"/>
      <c r="F122" s="7"/>
      <c r="G122" s="7"/>
      <c r="H122" s="7"/>
      <c r="I122" s="7"/>
      <c r="J122" s="7"/>
      <c r="K122" s="7"/>
      <c r="L122" s="7"/>
      <c r="M122" s="7"/>
      <c r="N122" s="7"/>
      <c r="O122" s="7"/>
      <c r="P122" s="7"/>
    </row>
    <row r="123" spans="1:16">
      <c r="A123" s="7"/>
      <c r="B123" s="7"/>
      <c r="C123" s="7"/>
      <c r="D123" s="7"/>
      <c r="E123" s="7"/>
      <c r="F123" s="7"/>
      <c r="G123" s="7"/>
      <c r="H123" s="7"/>
      <c r="I123" s="7"/>
      <c r="J123" s="7"/>
      <c r="K123" s="7"/>
      <c r="L123" s="7"/>
      <c r="M123" s="7"/>
      <c r="N123" s="7"/>
      <c r="O123" s="7"/>
      <c r="P123" s="7"/>
    </row>
    <row r="124" spans="1:16">
      <c r="A124" s="7"/>
      <c r="B124" s="7"/>
      <c r="C124" s="7"/>
      <c r="D124" s="7"/>
      <c r="E124" s="7"/>
      <c r="F124" s="7"/>
      <c r="G124" s="7"/>
      <c r="H124" s="7"/>
      <c r="I124" s="7"/>
      <c r="J124" s="7"/>
      <c r="K124" s="7"/>
      <c r="L124" s="7"/>
      <c r="M124" s="7"/>
      <c r="N124" s="7"/>
      <c r="O124" s="7"/>
      <c r="P124" s="7"/>
    </row>
    <row r="125" spans="1:16" ht="24.75">
      <c r="A125" s="216" t="s">
        <v>142</v>
      </c>
      <c r="B125" s="7"/>
      <c r="C125" s="7"/>
      <c r="D125" s="7"/>
      <c r="E125" s="7"/>
      <c r="F125" s="7"/>
      <c r="G125" s="7"/>
      <c r="H125" s="7"/>
      <c r="I125" s="7"/>
      <c r="J125" s="7"/>
      <c r="K125" s="7"/>
      <c r="L125" s="7"/>
      <c r="M125" s="7"/>
      <c r="N125" s="7"/>
      <c r="O125" s="7"/>
      <c r="P125" s="7"/>
    </row>
    <row r="126" spans="1:16" ht="24.75">
      <c r="A126" s="217" t="s">
        <v>143</v>
      </c>
      <c r="B126" s="7"/>
      <c r="C126" s="7"/>
      <c r="D126" s="7"/>
      <c r="E126" s="7"/>
      <c r="F126" s="7"/>
      <c r="G126" s="7"/>
      <c r="H126" s="7"/>
      <c r="I126" s="7"/>
      <c r="J126" s="7"/>
      <c r="K126" s="7"/>
      <c r="L126" s="7"/>
      <c r="M126" s="7"/>
      <c r="N126" s="7"/>
      <c r="O126" s="7"/>
      <c r="P126" s="7"/>
    </row>
    <row r="127" spans="1:16" ht="24.75">
      <c r="A127" s="218" t="s">
        <v>144</v>
      </c>
      <c r="B127" s="7"/>
      <c r="C127" s="7"/>
      <c r="D127" s="7"/>
      <c r="E127" s="7"/>
      <c r="F127" s="7"/>
      <c r="G127" s="7"/>
      <c r="H127" s="7"/>
      <c r="I127" s="7"/>
      <c r="J127" s="7"/>
      <c r="K127" s="7"/>
      <c r="L127" s="7"/>
      <c r="M127" s="7"/>
      <c r="N127" s="7"/>
      <c r="O127" s="7"/>
      <c r="P127" s="7"/>
    </row>
    <row r="128" spans="1:16" ht="24.75">
      <c r="A128" s="218" t="s">
        <v>145</v>
      </c>
      <c r="B128" s="7"/>
      <c r="C128" s="7"/>
      <c r="D128" s="7"/>
      <c r="E128" s="7"/>
      <c r="F128" s="7"/>
      <c r="G128" s="7"/>
      <c r="H128" s="7"/>
      <c r="I128" s="7"/>
      <c r="J128" s="7"/>
      <c r="K128" s="7"/>
      <c r="L128" s="7"/>
      <c r="M128" s="7"/>
      <c r="N128" s="7"/>
      <c r="O128" s="7"/>
      <c r="P128" s="7"/>
    </row>
    <row r="129" spans="1:16" ht="19.5">
      <c r="A129" s="12" t="s">
        <v>34</v>
      </c>
      <c r="B129" s="12"/>
      <c r="C129" s="12"/>
      <c r="D129" s="12"/>
      <c r="E129" s="12"/>
      <c r="F129" s="12"/>
      <c r="G129" s="12"/>
      <c r="H129" s="12"/>
      <c r="I129" s="12"/>
      <c r="J129" s="12"/>
      <c r="K129" s="12"/>
      <c r="L129" s="12"/>
      <c r="M129" s="12"/>
      <c r="N129" s="12"/>
      <c r="O129" s="12"/>
      <c r="P129" s="12"/>
    </row>
    <row r="130" spans="1:16" ht="19.5">
      <c r="A130" s="12"/>
      <c r="B130" s="12"/>
      <c r="C130" s="12"/>
      <c r="D130" s="12"/>
      <c r="E130" s="12"/>
      <c r="F130" s="12"/>
      <c r="G130" s="12"/>
      <c r="H130" s="12"/>
      <c r="I130" s="12"/>
      <c r="J130" s="12"/>
      <c r="K130" s="12"/>
      <c r="L130" s="12"/>
      <c r="M130" s="12"/>
      <c r="N130" s="12"/>
      <c r="O130" s="12"/>
      <c r="P130" s="12"/>
    </row>
    <row r="131" spans="1:16" ht="19.5">
      <c r="A131" s="12"/>
      <c r="B131" s="12"/>
      <c r="C131" s="12"/>
      <c r="D131" s="12"/>
      <c r="E131" s="12"/>
      <c r="F131" s="12"/>
      <c r="G131" s="12"/>
      <c r="H131" s="12"/>
      <c r="I131" s="12"/>
      <c r="J131" s="12"/>
      <c r="K131" s="12"/>
      <c r="L131" s="12"/>
      <c r="M131" s="12"/>
      <c r="N131" s="12"/>
      <c r="O131" s="12"/>
      <c r="P131" s="12"/>
    </row>
    <row r="132" spans="1:16" ht="19.5">
      <c r="A132" s="12"/>
      <c r="B132" s="12"/>
      <c r="C132" s="12"/>
      <c r="D132" s="12"/>
      <c r="E132" s="12"/>
      <c r="F132" s="12"/>
      <c r="G132" s="12"/>
      <c r="H132" s="12"/>
      <c r="I132" s="12"/>
      <c r="J132" s="12"/>
      <c r="K132" s="12"/>
      <c r="L132" s="12"/>
      <c r="M132" s="12"/>
      <c r="N132" s="12"/>
      <c r="O132" s="12"/>
      <c r="P132" s="12"/>
    </row>
    <row r="133" spans="1:16" ht="19.5">
      <c r="A133" s="12"/>
      <c r="B133" s="12"/>
      <c r="C133" s="12"/>
      <c r="D133" s="12"/>
      <c r="E133" s="12"/>
      <c r="F133" s="12"/>
      <c r="G133" s="12"/>
      <c r="H133" s="12"/>
      <c r="I133" s="12"/>
      <c r="J133" s="12"/>
      <c r="K133" s="12"/>
      <c r="L133" s="12"/>
      <c r="M133" s="12"/>
      <c r="N133" s="12"/>
      <c r="O133" s="12"/>
      <c r="P133" s="12"/>
    </row>
    <row r="134" spans="1:16" ht="19.5">
      <c r="A134" s="12"/>
      <c r="B134" s="28"/>
      <c r="C134" s="28"/>
      <c r="D134" s="28"/>
      <c r="E134" s="12"/>
      <c r="F134" s="12"/>
      <c r="G134" s="28"/>
      <c r="H134" s="28"/>
      <c r="I134" s="28"/>
      <c r="J134" s="12"/>
      <c r="K134" s="28"/>
      <c r="L134" s="28"/>
      <c r="M134" s="28"/>
      <c r="N134" s="12"/>
      <c r="O134" s="12"/>
      <c r="P134" s="12"/>
    </row>
    <row r="135" spans="1:16" ht="19.5">
      <c r="A135" s="12"/>
      <c r="B135" s="128"/>
      <c r="C135" s="219" t="str">
        <f>IF(C136="","",IF(C137="","",IF(H136="","",IF(L136="","",IF(H136=C136/C137,"J",IF(L136/100=C136/C137,"J","L"))))))</f>
        <v>J</v>
      </c>
      <c r="D135" s="127"/>
      <c r="E135" s="12"/>
      <c r="F135" s="12"/>
      <c r="G135" s="128"/>
      <c r="H135" s="219" t="str">
        <f>IF(H136="","",IF(C136="","",IF(C137="","",IF(C136/C137=H136,"J",IF(L136="","",IF(H136=L136/100,"J","L"))))))</f>
        <v>J</v>
      </c>
      <c r="I135" s="127"/>
      <c r="J135" s="12"/>
      <c r="K135" s="128"/>
      <c r="L135" s="220" t="str">
        <f>IF(L136="","",IF(C136="","",IF(C137="","",IF(C136/C137=L136/100,"J",IF(H136="","",IF(H136=H136*100,"J","L"))))))</f>
        <v>J</v>
      </c>
      <c r="M135" s="127"/>
      <c r="N135" s="12"/>
      <c r="O135" s="12"/>
      <c r="P135" s="12"/>
    </row>
    <row r="136" spans="1:16" ht="25.5" thickBot="1">
      <c r="A136" s="12"/>
      <c r="B136" s="126"/>
      <c r="C136" s="125">
        <v>4</v>
      </c>
      <c r="D136" s="126"/>
      <c r="E136" s="12"/>
      <c r="F136" s="12"/>
      <c r="G136" s="126"/>
      <c r="H136" s="221">
        <v>0.8</v>
      </c>
      <c r="I136" s="12"/>
      <c r="J136" s="12"/>
      <c r="K136" s="126"/>
      <c r="L136" s="132">
        <v>80</v>
      </c>
      <c r="M136" s="12"/>
      <c r="N136" s="12"/>
      <c r="O136" s="12"/>
      <c r="P136" s="12"/>
    </row>
    <row r="137" spans="1:16" ht="25.5" thickTop="1">
      <c r="A137" s="12"/>
      <c r="B137" s="126"/>
      <c r="C137" s="124">
        <v>5</v>
      </c>
      <c r="D137" s="126"/>
      <c r="E137" s="12"/>
      <c r="F137" s="12"/>
      <c r="G137" s="126"/>
      <c r="H137" s="129"/>
      <c r="I137" s="12"/>
      <c r="J137" s="12"/>
      <c r="K137" s="126"/>
      <c r="L137" s="130" t="s">
        <v>102</v>
      </c>
      <c r="M137" s="12"/>
      <c r="N137" s="12"/>
      <c r="O137" s="12"/>
      <c r="P137" s="12"/>
    </row>
    <row r="138" spans="1:16" ht="19.5">
      <c r="A138" s="12"/>
      <c r="B138" s="12"/>
      <c r="C138" s="127"/>
      <c r="D138" s="12"/>
      <c r="E138" s="12"/>
      <c r="F138" s="12"/>
      <c r="G138" s="12"/>
      <c r="H138" s="127"/>
      <c r="I138" s="12"/>
      <c r="J138" s="12"/>
      <c r="K138" s="12"/>
      <c r="L138" s="127"/>
      <c r="M138" s="12"/>
      <c r="N138" s="12"/>
      <c r="O138" s="12"/>
      <c r="P138" s="12"/>
    </row>
    <row r="139" spans="1:16" ht="19.5">
      <c r="A139" s="12"/>
      <c r="B139" s="12"/>
      <c r="C139" s="12"/>
      <c r="D139" s="12"/>
      <c r="E139" s="12"/>
      <c r="F139" s="12"/>
      <c r="G139" s="12"/>
      <c r="H139" s="12"/>
      <c r="I139" s="12"/>
      <c r="J139" s="12"/>
      <c r="K139" s="12"/>
      <c r="L139" s="12"/>
      <c r="M139" s="12"/>
      <c r="N139" s="12"/>
      <c r="O139" s="12"/>
      <c r="P139" s="12"/>
    </row>
    <row r="140" spans="1:16" ht="19.5">
      <c r="A140" s="12"/>
      <c r="B140" s="12"/>
      <c r="C140" s="12"/>
      <c r="D140" s="12"/>
      <c r="E140" s="12"/>
      <c r="F140" s="12"/>
      <c r="G140" s="12"/>
      <c r="H140" s="12"/>
      <c r="I140" s="12"/>
      <c r="J140" s="12"/>
      <c r="K140" s="12"/>
      <c r="L140" s="12"/>
      <c r="M140" s="12"/>
      <c r="N140" s="12"/>
      <c r="O140" s="12"/>
      <c r="P140" s="12"/>
    </row>
    <row r="141" spans="1:16" ht="19.5">
      <c r="A141" s="12"/>
      <c r="B141" s="12"/>
      <c r="C141" s="12"/>
      <c r="D141" s="12"/>
      <c r="E141" s="12"/>
      <c r="F141" s="12"/>
      <c r="G141" s="12"/>
      <c r="H141" s="12"/>
      <c r="I141" s="12"/>
      <c r="J141" s="12"/>
      <c r="K141" s="12"/>
      <c r="L141" s="12"/>
      <c r="M141" s="12"/>
      <c r="N141" s="12"/>
      <c r="O141" s="12"/>
      <c r="P141" s="12"/>
    </row>
    <row r="142" spans="1:16" ht="19.5">
      <c r="A142" s="12"/>
      <c r="B142" s="12"/>
      <c r="C142" s="12"/>
      <c r="D142" s="12"/>
      <c r="E142" s="12"/>
      <c r="F142" s="12"/>
      <c r="G142" s="12"/>
      <c r="H142" s="12"/>
      <c r="I142" s="12"/>
      <c r="J142" s="12"/>
      <c r="K142" s="12"/>
      <c r="L142" s="12"/>
      <c r="M142" s="12"/>
      <c r="N142" s="12"/>
      <c r="O142" s="12"/>
      <c r="P142" s="12"/>
    </row>
    <row r="143" spans="1:16" ht="19.5">
      <c r="A143" s="12"/>
      <c r="B143" s="12"/>
      <c r="C143" s="12"/>
      <c r="D143" s="12"/>
      <c r="E143" s="12"/>
      <c r="F143" s="12"/>
      <c r="G143" s="12"/>
      <c r="H143" s="12"/>
      <c r="I143" s="12"/>
      <c r="J143" s="12"/>
      <c r="K143" s="12"/>
      <c r="L143" s="12"/>
      <c r="M143" s="12"/>
      <c r="N143" s="12"/>
      <c r="O143" s="12"/>
      <c r="P143" s="12"/>
    </row>
    <row r="144" spans="1:16" ht="19.5">
      <c r="A144" s="12"/>
      <c r="B144" s="12"/>
      <c r="C144" s="12"/>
      <c r="D144" s="12"/>
      <c r="E144" s="12"/>
      <c r="F144" s="12"/>
      <c r="G144" s="12"/>
      <c r="H144" s="12"/>
      <c r="I144" s="12"/>
      <c r="J144" s="12"/>
      <c r="K144" s="12"/>
      <c r="L144" s="12"/>
      <c r="M144" s="12"/>
      <c r="N144" s="12"/>
      <c r="O144" s="12"/>
      <c r="P144" s="12"/>
    </row>
    <row r="145" spans="1:16" ht="19.5">
      <c r="A145" s="12"/>
      <c r="B145" s="12"/>
      <c r="C145" s="12"/>
      <c r="D145" s="12"/>
      <c r="E145" s="12"/>
      <c r="F145" s="12"/>
      <c r="G145" s="12"/>
      <c r="H145" s="12"/>
      <c r="I145" s="12"/>
      <c r="J145" s="12"/>
      <c r="K145" s="12"/>
      <c r="L145" s="12"/>
      <c r="M145" s="12"/>
      <c r="N145" s="12"/>
      <c r="O145" s="12"/>
      <c r="P145" s="12"/>
    </row>
    <row r="146" spans="1:16" ht="19.5">
      <c r="A146" s="12"/>
      <c r="B146" s="12"/>
      <c r="C146" s="12"/>
      <c r="D146" s="12"/>
      <c r="E146" s="12"/>
      <c r="F146" s="12"/>
      <c r="G146" s="12"/>
      <c r="H146" s="12"/>
      <c r="I146" s="12"/>
      <c r="J146" s="12"/>
      <c r="K146" s="12"/>
      <c r="L146" s="12"/>
      <c r="M146" s="12"/>
      <c r="N146" s="12"/>
      <c r="O146" s="12"/>
      <c r="P146" s="12"/>
    </row>
    <row r="147" spans="1:16" ht="19.5">
      <c r="A147" s="12"/>
      <c r="B147" s="12"/>
      <c r="C147" s="12"/>
      <c r="D147" s="12"/>
      <c r="E147" s="12"/>
      <c r="F147" s="12"/>
      <c r="G147" s="12"/>
      <c r="H147" s="12"/>
      <c r="I147" s="12"/>
      <c r="J147" s="12"/>
      <c r="K147" s="12"/>
      <c r="L147" s="12"/>
      <c r="M147" s="12"/>
      <c r="N147" s="12"/>
      <c r="O147" s="12"/>
      <c r="P147" s="12"/>
    </row>
    <row r="148" spans="1:16">
      <c r="A148" s="7"/>
      <c r="B148" s="7"/>
      <c r="C148" s="7"/>
      <c r="D148" s="7"/>
      <c r="E148" s="7"/>
      <c r="F148" s="7"/>
      <c r="G148" s="7"/>
      <c r="H148" s="7"/>
      <c r="I148" s="7"/>
      <c r="J148" s="7"/>
      <c r="K148" s="7"/>
      <c r="L148" s="7"/>
      <c r="M148" s="7"/>
      <c r="N148" s="7"/>
      <c r="O148" s="7"/>
      <c r="P148" s="7"/>
    </row>
    <row r="149" spans="1:16">
      <c r="A149" s="7"/>
      <c r="B149" s="7"/>
      <c r="C149" s="7"/>
      <c r="D149" s="7"/>
      <c r="E149" s="7"/>
      <c r="F149" s="7"/>
      <c r="G149" s="7"/>
      <c r="H149" s="7"/>
      <c r="I149" s="7"/>
      <c r="J149" s="7"/>
      <c r="K149" s="7"/>
      <c r="L149" s="7"/>
      <c r="M149" s="7"/>
      <c r="N149" s="7"/>
      <c r="O149" s="7"/>
      <c r="P149" s="7"/>
    </row>
    <row r="150" spans="1:16">
      <c r="A150" s="7"/>
      <c r="B150" s="7"/>
      <c r="C150" s="7"/>
      <c r="D150" s="7"/>
      <c r="E150" s="7"/>
      <c r="F150" s="7"/>
      <c r="G150" s="7"/>
      <c r="H150" s="7"/>
      <c r="I150" s="7"/>
      <c r="J150" s="7"/>
      <c r="K150" s="7"/>
      <c r="L150" s="7"/>
      <c r="M150" s="7"/>
      <c r="N150" s="7"/>
      <c r="O150" s="7"/>
      <c r="P150" s="7"/>
    </row>
    <row r="151" spans="1:16">
      <c r="A151" s="7"/>
      <c r="B151" s="7"/>
      <c r="C151" s="7"/>
      <c r="D151" s="7"/>
      <c r="E151" s="7"/>
      <c r="F151" s="7"/>
      <c r="G151" s="7"/>
      <c r="H151" s="7"/>
      <c r="I151" s="7"/>
      <c r="J151" s="7"/>
      <c r="K151" s="7"/>
      <c r="L151" s="7"/>
      <c r="M151" s="7"/>
      <c r="N151" s="7"/>
      <c r="O151" s="7"/>
      <c r="P151" s="7"/>
    </row>
    <row r="152" spans="1:16">
      <c r="A152" s="7"/>
      <c r="B152" s="7"/>
      <c r="C152" s="7"/>
      <c r="D152" s="7"/>
      <c r="E152" s="7"/>
      <c r="F152" s="7"/>
      <c r="G152" s="7"/>
      <c r="H152" s="7"/>
      <c r="I152" s="7"/>
      <c r="J152" s="7"/>
      <c r="K152" s="7"/>
      <c r="L152" s="7"/>
      <c r="M152" s="7"/>
      <c r="N152" s="7"/>
      <c r="O152" s="7"/>
      <c r="P152" s="7"/>
    </row>
    <row r="153" spans="1:16">
      <c r="A153" s="7"/>
      <c r="B153" s="7"/>
      <c r="C153" s="7"/>
      <c r="D153" s="7"/>
      <c r="E153" s="7"/>
      <c r="F153" s="7"/>
      <c r="G153" s="7"/>
      <c r="H153" s="7"/>
      <c r="I153" s="7"/>
      <c r="J153" s="7"/>
      <c r="K153" s="7"/>
      <c r="L153" s="7"/>
      <c r="M153" s="7"/>
      <c r="N153" s="7"/>
      <c r="O153" s="7"/>
      <c r="P153" s="7"/>
    </row>
    <row r="154" spans="1:16">
      <c r="A154" s="7"/>
      <c r="B154" s="7"/>
      <c r="C154" s="7"/>
      <c r="D154" s="7"/>
      <c r="E154" s="7"/>
      <c r="F154" s="7"/>
      <c r="G154" s="7"/>
      <c r="H154" s="7"/>
      <c r="I154" s="7"/>
      <c r="J154" s="7"/>
      <c r="K154" s="7"/>
      <c r="L154" s="7"/>
      <c r="M154" s="7"/>
      <c r="N154" s="7"/>
      <c r="O154" s="7"/>
      <c r="P154" s="7"/>
    </row>
    <row r="155" spans="1:16">
      <c r="A155" s="7"/>
      <c r="B155" s="7"/>
      <c r="C155" s="7"/>
      <c r="D155" s="7"/>
      <c r="E155" s="7"/>
      <c r="F155" s="7"/>
      <c r="G155" s="7"/>
      <c r="H155" s="7"/>
      <c r="I155" s="7"/>
      <c r="J155" s="7"/>
      <c r="K155" s="7"/>
      <c r="L155" s="7"/>
      <c r="M155" s="7"/>
      <c r="N155" s="7"/>
      <c r="O155" s="7"/>
      <c r="P155" s="7"/>
    </row>
    <row r="156" spans="1:16">
      <c r="A156" s="7"/>
      <c r="B156" s="7"/>
      <c r="C156" s="7"/>
      <c r="D156" s="7"/>
      <c r="E156" s="7"/>
      <c r="F156" s="7"/>
      <c r="G156" s="7"/>
      <c r="H156" s="7"/>
      <c r="I156" s="7"/>
      <c r="J156" s="7"/>
      <c r="K156" s="7"/>
      <c r="L156" s="7"/>
      <c r="M156" s="7"/>
      <c r="N156" s="7"/>
      <c r="O156" s="7"/>
      <c r="P156" s="7"/>
    </row>
    <row r="157" spans="1:16">
      <c r="A157" s="7"/>
      <c r="B157" s="7"/>
      <c r="C157" s="7"/>
      <c r="D157" s="7"/>
      <c r="E157" s="7"/>
      <c r="F157" s="7"/>
      <c r="G157" s="7"/>
      <c r="H157" s="7"/>
      <c r="I157" s="7"/>
      <c r="J157" s="7"/>
      <c r="K157" s="7"/>
      <c r="L157" s="7"/>
      <c r="M157" s="7"/>
      <c r="N157" s="7"/>
      <c r="O157" s="7"/>
      <c r="P157" s="7"/>
    </row>
    <row r="158" spans="1:16">
      <c r="A158" s="7"/>
      <c r="B158" s="7"/>
      <c r="C158" s="7"/>
      <c r="D158" s="7"/>
      <c r="E158" s="7"/>
      <c r="F158" s="7"/>
      <c r="G158" s="7"/>
      <c r="H158" s="7"/>
      <c r="I158" s="7"/>
      <c r="J158" s="7"/>
      <c r="K158" s="7"/>
      <c r="L158" s="7"/>
      <c r="M158" s="7"/>
      <c r="N158" s="7"/>
      <c r="O158" s="7"/>
      <c r="P158" s="7"/>
    </row>
    <row r="159" spans="1:16">
      <c r="A159" s="7"/>
      <c r="B159" s="7"/>
      <c r="C159" s="7"/>
      <c r="D159" s="7"/>
      <c r="E159" s="7"/>
      <c r="F159" s="7"/>
      <c r="G159" s="7"/>
      <c r="H159" s="7"/>
      <c r="I159" s="7"/>
      <c r="J159" s="7"/>
      <c r="K159" s="7"/>
      <c r="L159" s="7"/>
      <c r="M159" s="7"/>
      <c r="N159" s="7"/>
      <c r="O159" s="7"/>
      <c r="P159" s="7"/>
    </row>
    <row r="160" spans="1:16">
      <c r="A160" s="7"/>
      <c r="B160" s="7"/>
      <c r="C160" s="7"/>
      <c r="D160" s="7"/>
      <c r="E160" s="7"/>
      <c r="F160" s="7"/>
      <c r="G160" s="7"/>
      <c r="H160" s="7"/>
      <c r="I160" s="7"/>
      <c r="J160" s="7"/>
      <c r="K160" s="7"/>
      <c r="L160" s="7"/>
      <c r="M160" s="7"/>
      <c r="N160" s="7"/>
      <c r="O160" s="7"/>
      <c r="P160" s="7"/>
    </row>
    <row r="161" spans="1:16">
      <c r="A161" s="7"/>
      <c r="B161" s="7"/>
      <c r="C161" s="7"/>
      <c r="D161" s="7"/>
      <c r="E161" s="7"/>
      <c r="F161" s="7"/>
      <c r="G161" s="7"/>
      <c r="H161" s="7"/>
      <c r="I161" s="7"/>
      <c r="J161" s="7"/>
      <c r="K161" s="7"/>
      <c r="L161" s="7"/>
      <c r="M161" s="7"/>
      <c r="N161" s="7"/>
      <c r="O161" s="7"/>
      <c r="P161" s="7"/>
    </row>
    <row r="162" spans="1:16">
      <c r="A162" s="7"/>
      <c r="B162" s="7"/>
      <c r="C162" s="7"/>
      <c r="D162" s="7"/>
      <c r="E162" s="7"/>
      <c r="F162" s="7"/>
      <c r="G162" s="7"/>
      <c r="H162" s="7"/>
      <c r="I162" s="7"/>
      <c r="J162" s="7"/>
      <c r="K162" s="7"/>
      <c r="L162" s="7"/>
      <c r="M162" s="7"/>
      <c r="N162" s="7"/>
      <c r="O162" s="7"/>
      <c r="P162" s="7"/>
    </row>
    <row r="163" spans="1:16">
      <c r="A163" s="7"/>
      <c r="B163" s="7"/>
      <c r="C163" s="7"/>
      <c r="D163" s="7"/>
      <c r="E163" s="7"/>
      <c r="F163" s="7"/>
      <c r="G163" s="7"/>
      <c r="H163" s="7"/>
      <c r="I163" s="7"/>
      <c r="J163" s="7"/>
      <c r="K163" s="7"/>
      <c r="L163" s="7"/>
      <c r="M163" s="7"/>
      <c r="N163" s="7"/>
      <c r="O163" s="7"/>
      <c r="P163" s="7"/>
    </row>
    <row r="164" spans="1:16">
      <c r="A164" s="7"/>
      <c r="B164" s="7"/>
      <c r="C164" s="7"/>
      <c r="D164" s="7"/>
      <c r="E164" s="7"/>
      <c r="F164" s="7"/>
      <c r="G164" s="7"/>
      <c r="H164" s="7"/>
      <c r="I164" s="7"/>
      <c r="J164" s="7"/>
      <c r="K164" s="7"/>
      <c r="L164" s="7"/>
      <c r="M164" s="7"/>
      <c r="N164" s="7"/>
      <c r="O164" s="7"/>
      <c r="P164" s="7"/>
    </row>
    <row r="165" spans="1:16">
      <c r="A165" s="7"/>
      <c r="B165" s="7"/>
      <c r="C165" s="7"/>
      <c r="D165" s="7"/>
      <c r="E165" s="7"/>
      <c r="F165" s="7"/>
      <c r="G165" s="7"/>
      <c r="H165" s="7"/>
      <c r="I165" s="7"/>
      <c r="J165" s="7"/>
      <c r="K165" s="7"/>
      <c r="L165" s="7"/>
      <c r="M165" s="7"/>
      <c r="N165" s="7"/>
      <c r="O165" s="7"/>
      <c r="P165" s="7"/>
    </row>
    <row r="166" spans="1:16">
      <c r="A166" s="7"/>
      <c r="B166" s="7"/>
      <c r="C166" s="7"/>
      <c r="D166" s="7"/>
      <c r="E166" s="7"/>
      <c r="F166" s="7"/>
      <c r="G166" s="7"/>
      <c r="H166" s="7"/>
      <c r="I166" s="7"/>
      <c r="J166" s="7"/>
      <c r="K166" s="7"/>
      <c r="L166" s="7"/>
      <c r="M166" s="7"/>
      <c r="N166" s="7"/>
      <c r="O166" s="7"/>
      <c r="P166" s="7"/>
    </row>
    <row r="167" spans="1:16">
      <c r="A167" s="7"/>
      <c r="B167" s="7"/>
      <c r="C167" s="7"/>
      <c r="D167" s="7"/>
      <c r="E167" s="7"/>
      <c r="F167" s="7"/>
      <c r="G167" s="7"/>
      <c r="H167" s="7"/>
      <c r="I167" s="7"/>
      <c r="J167" s="7"/>
      <c r="K167" s="7"/>
      <c r="L167" s="7"/>
      <c r="M167" s="7"/>
      <c r="N167" s="7"/>
      <c r="O167" s="7"/>
      <c r="P167" s="7"/>
    </row>
    <row r="168" spans="1:16">
      <c r="A168" s="7"/>
      <c r="B168" s="7"/>
      <c r="C168" s="7"/>
      <c r="D168" s="7"/>
      <c r="E168" s="7"/>
      <c r="F168" s="7"/>
      <c r="G168" s="7"/>
      <c r="H168" s="7"/>
      <c r="I168" s="7"/>
      <c r="J168" s="7"/>
      <c r="K168" s="7"/>
      <c r="L168" s="7"/>
      <c r="M168" s="7"/>
      <c r="N168" s="7"/>
      <c r="O168" s="7"/>
      <c r="P168" s="7"/>
    </row>
    <row r="169" spans="1:16">
      <c r="A169" s="7"/>
      <c r="B169" s="7"/>
      <c r="C169" s="7"/>
      <c r="D169" s="7"/>
      <c r="E169" s="7"/>
      <c r="F169" s="7"/>
      <c r="G169" s="7"/>
      <c r="H169" s="7"/>
      <c r="I169" s="7"/>
      <c r="J169" s="7"/>
      <c r="K169" s="7"/>
      <c r="L169" s="7"/>
      <c r="M169" s="7"/>
      <c r="N169" s="7"/>
      <c r="O169" s="7"/>
      <c r="P169" s="7"/>
    </row>
    <row r="170" spans="1:16">
      <c r="A170" s="7"/>
      <c r="B170" s="7"/>
      <c r="C170" s="7"/>
      <c r="D170" s="7"/>
      <c r="E170" s="7"/>
      <c r="F170" s="7"/>
      <c r="G170" s="7"/>
      <c r="H170" s="7"/>
      <c r="I170" s="7"/>
      <c r="J170" s="7"/>
      <c r="K170" s="7"/>
      <c r="L170" s="7"/>
      <c r="M170" s="7"/>
      <c r="N170" s="7"/>
      <c r="O170" s="7"/>
      <c r="P170" s="7"/>
    </row>
    <row r="171" spans="1:16">
      <c r="A171" s="7"/>
      <c r="B171" s="7"/>
      <c r="C171" s="7"/>
      <c r="D171" s="7"/>
      <c r="E171" s="7"/>
      <c r="F171" s="7"/>
      <c r="G171" s="7"/>
      <c r="H171" s="7"/>
      <c r="I171" s="7"/>
      <c r="J171" s="7"/>
      <c r="K171" s="7"/>
      <c r="L171" s="7"/>
      <c r="M171" s="7"/>
      <c r="N171" s="7"/>
      <c r="O171" s="7"/>
      <c r="P171" s="7"/>
    </row>
    <row r="172" spans="1:16">
      <c r="A172" s="7"/>
      <c r="B172" s="7"/>
      <c r="C172" s="7"/>
      <c r="D172" s="7"/>
      <c r="E172" s="7"/>
      <c r="F172" s="7"/>
      <c r="G172" s="7"/>
      <c r="H172" s="7"/>
      <c r="I172" s="7"/>
      <c r="J172" s="7"/>
      <c r="K172" s="7"/>
      <c r="L172" s="7"/>
      <c r="M172" s="7"/>
      <c r="N172" s="7"/>
      <c r="O172" s="7"/>
      <c r="P172" s="7"/>
    </row>
    <row r="173" spans="1:16">
      <c r="A173" s="7"/>
      <c r="B173" s="7"/>
      <c r="C173" s="7"/>
      <c r="D173" s="7"/>
      <c r="E173" s="7"/>
      <c r="F173" s="7"/>
      <c r="G173" s="7"/>
      <c r="H173" s="7"/>
      <c r="I173" s="7"/>
      <c r="J173" s="7"/>
      <c r="K173" s="7"/>
      <c r="L173" s="7"/>
      <c r="M173" s="7"/>
      <c r="N173" s="7"/>
      <c r="O173" s="7"/>
      <c r="P173" s="7"/>
    </row>
    <row r="174" spans="1:16">
      <c r="A174" s="7"/>
      <c r="B174" s="7"/>
      <c r="C174" s="7"/>
      <c r="D174" s="7"/>
      <c r="E174" s="7"/>
      <c r="F174" s="7"/>
      <c r="G174" s="7"/>
      <c r="H174" s="7"/>
      <c r="I174" s="7"/>
      <c r="J174" s="7"/>
      <c r="K174" s="7"/>
      <c r="L174" s="7"/>
      <c r="M174" s="7"/>
      <c r="N174" s="7"/>
      <c r="O174" s="7"/>
      <c r="P174" s="7"/>
    </row>
    <row r="175" spans="1:16">
      <c r="A175" s="7"/>
      <c r="B175" s="7"/>
      <c r="C175" s="7"/>
      <c r="D175" s="7"/>
      <c r="E175" s="7"/>
      <c r="F175" s="7"/>
      <c r="G175" s="7"/>
      <c r="H175" s="7"/>
      <c r="I175" s="7"/>
      <c r="J175" s="7"/>
      <c r="K175" s="7"/>
      <c r="L175" s="7"/>
      <c r="M175" s="7"/>
      <c r="N175" s="7"/>
      <c r="O175" s="7"/>
      <c r="P175" s="7"/>
    </row>
    <row r="176" spans="1:16">
      <c r="A176" s="7"/>
      <c r="B176" s="7"/>
      <c r="C176" s="7"/>
      <c r="D176" s="7"/>
      <c r="E176" s="7"/>
      <c r="F176" s="7"/>
      <c r="G176" s="7"/>
      <c r="H176" s="7"/>
      <c r="I176" s="7"/>
      <c r="J176" s="7"/>
      <c r="K176" s="7"/>
      <c r="L176" s="7"/>
      <c r="M176" s="7"/>
      <c r="N176" s="7"/>
      <c r="O176" s="7"/>
      <c r="P176" s="7"/>
    </row>
    <row r="177" spans="1:16">
      <c r="A177" s="7"/>
      <c r="B177" s="7"/>
      <c r="C177" s="7"/>
      <c r="D177" s="7"/>
      <c r="E177" s="7"/>
      <c r="F177" s="7"/>
      <c r="G177" s="7"/>
      <c r="H177" s="7"/>
      <c r="I177" s="7"/>
      <c r="J177" s="7"/>
      <c r="K177" s="7"/>
      <c r="L177" s="7"/>
      <c r="M177" s="7"/>
      <c r="N177" s="7"/>
      <c r="O177" s="7"/>
      <c r="P177" s="7"/>
    </row>
    <row r="178" spans="1:16">
      <c r="A178" s="7"/>
      <c r="B178" s="7"/>
      <c r="C178" s="7"/>
      <c r="D178" s="7"/>
      <c r="E178" s="7"/>
      <c r="F178" s="7"/>
      <c r="G178" s="7"/>
      <c r="H178" s="7"/>
      <c r="I178" s="7"/>
      <c r="J178" s="7"/>
      <c r="K178" s="7"/>
      <c r="L178" s="7"/>
      <c r="M178" s="7"/>
      <c r="N178" s="7"/>
      <c r="O178" s="7"/>
      <c r="P178" s="7"/>
    </row>
    <row r="179" spans="1:16">
      <c r="A179" s="7"/>
      <c r="B179" s="7"/>
      <c r="C179" s="7"/>
      <c r="D179" s="7"/>
      <c r="E179" s="7"/>
      <c r="F179" s="7"/>
      <c r="G179" s="7"/>
      <c r="H179" s="7"/>
      <c r="I179" s="7"/>
      <c r="J179" s="7"/>
      <c r="K179" s="7"/>
      <c r="L179" s="7"/>
      <c r="M179" s="7"/>
      <c r="N179" s="7"/>
      <c r="O179" s="7"/>
      <c r="P179" s="7"/>
    </row>
    <row r="180" spans="1:16">
      <c r="A180" s="7"/>
      <c r="B180" s="7"/>
      <c r="C180" s="7"/>
      <c r="D180" s="7"/>
      <c r="E180" s="7"/>
      <c r="F180" s="7"/>
      <c r="G180" s="7"/>
      <c r="H180" s="7"/>
      <c r="I180" s="7"/>
      <c r="J180" s="7"/>
      <c r="K180" s="7"/>
      <c r="L180" s="7"/>
      <c r="M180" s="7"/>
      <c r="N180" s="7"/>
      <c r="O180" s="7"/>
      <c r="P180" s="7"/>
    </row>
    <row r="181" spans="1:16">
      <c r="A181" s="7"/>
      <c r="B181" s="7"/>
      <c r="C181" s="7"/>
      <c r="D181" s="7"/>
      <c r="E181" s="7"/>
      <c r="F181" s="7"/>
      <c r="G181" s="7"/>
      <c r="H181" s="7"/>
      <c r="I181" s="7"/>
      <c r="J181" s="7"/>
      <c r="K181" s="7"/>
      <c r="L181" s="7"/>
      <c r="M181" s="7"/>
      <c r="N181" s="7"/>
      <c r="O181" s="7"/>
      <c r="P181" s="7"/>
    </row>
    <row r="182" spans="1:16">
      <c r="A182" s="7"/>
      <c r="B182" s="7"/>
      <c r="C182" s="7"/>
      <c r="D182" s="7"/>
      <c r="E182" s="7"/>
      <c r="F182" s="7"/>
      <c r="G182" s="7"/>
      <c r="H182" s="7"/>
      <c r="I182" s="7"/>
      <c r="J182" s="7"/>
      <c r="K182" s="7"/>
      <c r="L182" s="7"/>
      <c r="M182" s="7"/>
      <c r="N182" s="7"/>
      <c r="O182" s="7"/>
      <c r="P182" s="7"/>
    </row>
    <row r="183" spans="1:16">
      <c r="A183" s="7"/>
      <c r="B183" s="7"/>
      <c r="C183" s="7"/>
      <c r="D183" s="7"/>
      <c r="E183" s="7"/>
      <c r="F183" s="7"/>
      <c r="G183" s="7"/>
      <c r="H183" s="7"/>
      <c r="I183" s="7"/>
      <c r="J183" s="7"/>
      <c r="K183" s="7"/>
      <c r="L183" s="7"/>
      <c r="M183" s="7"/>
      <c r="N183" s="7"/>
      <c r="O183" s="7"/>
      <c r="P183" s="7"/>
    </row>
    <row r="184" spans="1:16">
      <c r="A184" s="7"/>
      <c r="B184" s="7"/>
      <c r="C184" s="7"/>
      <c r="D184" s="7"/>
      <c r="E184" s="7"/>
      <c r="F184" s="7"/>
      <c r="G184" s="7"/>
      <c r="H184" s="7"/>
      <c r="I184" s="7"/>
      <c r="J184" s="7"/>
      <c r="K184" s="7"/>
      <c r="L184" s="7"/>
      <c r="M184" s="7"/>
      <c r="N184" s="7"/>
      <c r="O184" s="7"/>
      <c r="P184" s="7"/>
    </row>
    <row r="185" spans="1:16">
      <c r="A185" s="7"/>
      <c r="B185" s="7"/>
      <c r="C185" s="7"/>
      <c r="D185" s="7"/>
      <c r="E185" s="7"/>
      <c r="F185" s="7"/>
      <c r="G185" s="7"/>
      <c r="H185" s="7"/>
      <c r="I185" s="7"/>
      <c r="J185" s="7"/>
      <c r="K185" s="7"/>
      <c r="L185" s="7"/>
      <c r="M185" s="7"/>
      <c r="N185" s="7"/>
      <c r="O185" s="7"/>
      <c r="P185" s="7"/>
    </row>
    <row r="186" spans="1:16">
      <c r="A186" s="7"/>
      <c r="B186" s="7"/>
      <c r="C186" s="7"/>
      <c r="D186" s="7"/>
      <c r="E186" s="7"/>
      <c r="F186" s="7"/>
      <c r="G186" s="7"/>
      <c r="H186" s="7"/>
      <c r="I186" s="7"/>
      <c r="J186" s="7"/>
      <c r="K186" s="7"/>
      <c r="L186" s="7"/>
      <c r="M186" s="7"/>
      <c r="N186" s="7"/>
      <c r="O186" s="7"/>
      <c r="P186" s="7"/>
    </row>
    <row r="187" spans="1:16">
      <c r="A187" s="7"/>
      <c r="B187" s="7"/>
      <c r="C187" s="7"/>
      <c r="D187" s="7"/>
      <c r="E187" s="7"/>
      <c r="F187" s="7"/>
      <c r="G187" s="7"/>
      <c r="H187" s="7"/>
      <c r="I187" s="7"/>
      <c r="J187" s="7"/>
      <c r="K187" s="7"/>
      <c r="L187" s="7"/>
      <c r="M187" s="7"/>
      <c r="N187" s="7"/>
      <c r="O187" s="7"/>
      <c r="P187" s="7"/>
    </row>
    <row r="188" spans="1:16">
      <c r="A188" s="7"/>
      <c r="B188" s="7"/>
      <c r="C188" s="7"/>
      <c r="D188" s="7"/>
      <c r="E188" s="7"/>
      <c r="F188" s="7"/>
      <c r="G188" s="7"/>
      <c r="H188" s="7"/>
      <c r="I188" s="7"/>
      <c r="J188" s="7"/>
      <c r="K188" s="7"/>
      <c r="L188" s="7"/>
      <c r="M188" s="7"/>
      <c r="N188" s="7"/>
      <c r="O188" s="7"/>
      <c r="P188" s="7"/>
    </row>
    <row r="189" spans="1:16">
      <c r="A189" s="7"/>
      <c r="B189" s="7"/>
      <c r="C189" s="7"/>
      <c r="D189" s="7"/>
      <c r="E189" s="7"/>
      <c r="F189" s="7"/>
      <c r="G189" s="7"/>
      <c r="H189" s="7"/>
      <c r="I189" s="7"/>
      <c r="J189" s="7"/>
      <c r="K189" s="7"/>
      <c r="L189" s="7"/>
      <c r="M189" s="7"/>
      <c r="N189" s="7"/>
      <c r="O189" s="7"/>
      <c r="P189" s="7"/>
    </row>
    <row r="190" spans="1:16">
      <c r="A190" s="7"/>
      <c r="B190" s="7"/>
      <c r="C190" s="7"/>
      <c r="D190" s="7"/>
      <c r="E190" s="7"/>
      <c r="F190" s="7"/>
      <c r="G190" s="7"/>
      <c r="H190" s="7"/>
      <c r="I190" s="7"/>
      <c r="J190" s="7"/>
      <c r="K190" s="7"/>
      <c r="L190" s="7"/>
      <c r="M190" s="7"/>
      <c r="N190" s="7"/>
      <c r="O190" s="7"/>
      <c r="P190" s="7"/>
    </row>
    <row r="191" spans="1:16">
      <c r="A191" s="7"/>
      <c r="B191" s="7"/>
      <c r="C191" s="7"/>
      <c r="D191" s="7"/>
      <c r="E191" s="7"/>
      <c r="F191" s="7"/>
      <c r="G191" s="7"/>
      <c r="H191" s="7"/>
      <c r="I191" s="7"/>
      <c r="J191" s="7"/>
      <c r="K191" s="7"/>
      <c r="L191" s="7"/>
      <c r="M191" s="7"/>
      <c r="N191" s="7"/>
      <c r="O191" s="7"/>
      <c r="P191" s="7"/>
    </row>
    <row r="192" spans="1:16">
      <c r="A192" s="7"/>
      <c r="B192" s="7"/>
      <c r="C192" s="7"/>
      <c r="D192" s="7"/>
      <c r="E192" s="7"/>
      <c r="F192" s="7"/>
      <c r="G192" s="7"/>
      <c r="H192" s="7"/>
      <c r="I192" s="7"/>
      <c r="J192" s="7"/>
      <c r="K192" s="7"/>
      <c r="L192" s="7"/>
      <c r="M192" s="7"/>
      <c r="N192" s="7"/>
      <c r="O192" s="7"/>
      <c r="P192" s="7"/>
    </row>
    <row r="193" spans="1:16">
      <c r="A193" s="7"/>
      <c r="B193" s="7"/>
      <c r="C193" s="7"/>
      <c r="D193" s="7"/>
      <c r="E193" s="7"/>
      <c r="F193" s="7"/>
      <c r="G193" s="7"/>
      <c r="H193" s="7"/>
      <c r="I193" s="7"/>
      <c r="J193" s="7"/>
      <c r="K193" s="7"/>
      <c r="L193" s="7"/>
      <c r="M193" s="7"/>
      <c r="N193" s="7"/>
      <c r="O193" s="7"/>
      <c r="P193" s="7"/>
    </row>
    <row r="194" spans="1:16">
      <c r="A194" s="7"/>
      <c r="B194" s="7"/>
      <c r="C194" s="7"/>
      <c r="D194" s="7"/>
      <c r="E194" s="7"/>
      <c r="F194" s="7"/>
      <c r="G194" s="7"/>
      <c r="H194" s="7"/>
      <c r="I194" s="7"/>
      <c r="J194" s="7"/>
      <c r="K194" s="7"/>
      <c r="L194" s="7"/>
      <c r="M194" s="7"/>
      <c r="N194" s="7"/>
      <c r="O194" s="7"/>
      <c r="P194" s="7"/>
    </row>
    <row r="195" spans="1:16">
      <c r="A195" s="7"/>
      <c r="B195" s="7"/>
      <c r="C195" s="7"/>
      <c r="D195" s="7"/>
      <c r="E195" s="7"/>
      <c r="F195" s="7"/>
      <c r="G195" s="7"/>
      <c r="H195" s="7"/>
      <c r="I195" s="7"/>
      <c r="J195" s="7"/>
      <c r="K195" s="7"/>
      <c r="L195" s="7"/>
      <c r="M195" s="7"/>
      <c r="N195" s="7"/>
      <c r="O195" s="7"/>
      <c r="P195" s="7"/>
    </row>
    <row r="196" spans="1:16">
      <c r="A196" s="7"/>
      <c r="B196" s="7"/>
      <c r="C196" s="7"/>
      <c r="D196" s="7"/>
      <c r="E196" s="7"/>
      <c r="F196" s="7"/>
      <c r="G196" s="7"/>
      <c r="H196" s="7"/>
      <c r="I196" s="7"/>
      <c r="J196" s="7"/>
      <c r="K196" s="7"/>
      <c r="L196" s="7"/>
      <c r="M196" s="7"/>
      <c r="N196" s="7"/>
      <c r="O196" s="7"/>
      <c r="P196" s="7"/>
    </row>
    <row r="197" spans="1:16">
      <c r="A197" s="7"/>
      <c r="B197" s="7"/>
      <c r="C197" s="7"/>
      <c r="D197" s="7"/>
      <c r="E197" s="7"/>
      <c r="F197" s="7"/>
      <c r="G197" s="7"/>
      <c r="H197" s="7"/>
      <c r="I197" s="7"/>
      <c r="J197" s="7"/>
      <c r="K197" s="7"/>
      <c r="L197" s="7"/>
      <c r="M197" s="7"/>
      <c r="N197" s="7"/>
      <c r="O197" s="7"/>
      <c r="P197" s="7"/>
    </row>
    <row r="198" spans="1:16">
      <c r="A198" s="7"/>
      <c r="B198" s="7"/>
      <c r="C198" s="7"/>
      <c r="D198" s="7"/>
      <c r="E198" s="7"/>
      <c r="F198" s="7"/>
      <c r="G198" s="7"/>
      <c r="H198" s="7"/>
      <c r="I198" s="7"/>
      <c r="J198" s="7"/>
      <c r="K198" s="7"/>
      <c r="L198" s="7"/>
      <c r="M198" s="7"/>
      <c r="N198" s="7"/>
      <c r="O198" s="7"/>
      <c r="P198" s="7"/>
    </row>
    <row r="199" spans="1:16">
      <c r="A199" s="7"/>
      <c r="B199" s="7"/>
      <c r="C199" s="7"/>
      <c r="D199" s="7"/>
      <c r="E199" s="7"/>
      <c r="F199" s="7"/>
      <c r="G199" s="7"/>
      <c r="H199" s="7"/>
      <c r="I199" s="7"/>
      <c r="J199" s="7"/>
      <c r="K199" s="7"/>
      <c r="L199" s="7"/>
      <c r="M199" s="7"/>
      <c r="N199" s="7"/>
      <c r="O199" s="7"/>
      <c r="P199" s="7"/>
    </row>
    <row r="200" spans="1:16">
      <c r="A200" s="7"/>
      <c r="B200" s="7"/>
      <c r="C200" s="7"/>
      <c r="D200" s="7"/>
      <c r="E200" s="7"/>
      <c r="F200" s="7"/>
      <c r="G200" s="7"/>
      <c r="H200" s="7"/>
      <c r="I200" s="7"/>
      <c r="J200" s="7"/>
      <c r="K200" s="7"/>
      <c r="L200" s="7"/>
      <c r="M200" s="7"/>
      <c r="N200" s="7"/>
      <c r="O200" s="7"/>
      <c r="P200" s="7"/>
    </row>
    <row r="201" spans="1:16">
      <c r="A201" s="7"/>
      <c r="B201" s="7"/>
      <c r="C201" s="7"/>
      <c r="D201" s="7"/>
      <c r="E201" s="7"/>
      <c r="F201" s="7"/>
      <c r="G201" s="7"/>
      <c r="H201" s="7"/>
      <c r="I201" s="7"/>
      <c r="J201" s="7"/>
      <c r="K201" s="7"/>
      <c r="L201" s="7"/>
      <c r="M201" s="7"/>
      <c r="N201" s="7"/>
      <c r="O201" s="7"/>
      <c r="P201" s="7"/>
    </row>
    <row r="202" spans="1:16">
      <c r="A202" s="7"/>
      <c r="B202" s="7"/>
      <c r="C202" s="7"/>
      <c r="D202" s="7"/>
      <c r="E202" s="7"/>
      <c r="F202" s="7"/>
      <c r="G202" s="7"/>
      <c r="H202" s="7"/>
      <c r="I202" s="7"/>
      <c r="J202" s="7"/>
      <c r="K202" s="7"/>
      <c r="L202" s="7"/>
      <c r="M202" s="7"/>
      <c r="N202" s="7"/>
      <c r="O202" s="7"/>
      <c r="P202" s="7"/>
    </row>
    <row r="203" spans="1:16">
      <c r="A203" s="7"/>
      <c r="B203" s="7"/>
      <c r="C203" s="7"/>
      <c r="D203" s="7"/>
      <c r="E203" s="7"/>
      <c r="F203" s="7"/>
      <c r="G203" s="7"/>
      <c r="H203" s="7"/>
      <c r="I203" s="7"/>
      <c r="J203" s="7"/>
      <c r="K203" s="7"/>
      <c r="L203" s="7"/>
      <c r="M203" s="7"/>
      <c r="N203" s="7"/>
      <c r="O203" s="7"/>
      <c r="P203" s="7"/>
    </row>
    <row r="204" spans="1:16">
      <c r="A204" s="7"/>
      <c r="B204" s="7"/>
      <c r="C204" s="7"/>
      <c r="D204" s="7"/>
      <c r="E204" s="7"/>
      <c r="F204" s="7"/>
      <c r="G204" s="7"/>
      <c r="H204" s="7"/>
      <c r="I204" s="7"/>
      <c r="J204" s="7"/>
      <c r="K204" s="7"/>
      <c r="L204" s="7"/>
      <c r="M204" s="7"/>
      <c r="N204" s="7"/>
      <c r="O204" s="7"/>
      <c r="P204" s="7"/>
    </row>
    <row r="205" spans="1:16">
      <c r="A205" s="7"/>
      <c r="B205" s="7"/>
      <c r="C205" s="7"/>
      <c r="D205" s="7"/>
      <c r="E205" s="7"/>
      <c r="F205" s="7"/>
      <c r="G205" s="7"/>
      <c r="H205" s="7"/>
      <c r="I205" s="7"/>
      <c r="J205" s="7"/>
      <c r="K205" s="7"/>
      <c r="L205" s="7"/>
      <c r="M205" s="7"/>
      <c r="N205" s="7"/>
      <c r="O205" s="7"/>
      <c r="P205" s="7"/>
    </row>
    <row r="206" spans="1:16">
      <c r="A206" s="7"/>
      <c r="B206" s="7"/>
      <c r="C206" s="7"/>
      <c r="D206" s="7"/>
      <c r="E206" s="7"/>
      <c r="F206" s="7"/>
      <c r="G206" s="7"/>
      <c r="H206" s="7"/>
      <c r="I206" s="7"/>
      <c r="J206" s="7"/>
      <c r="K206" s="7"/>
      <c r="L206" s="7"/>
      <c r="M206" s="7"/>
      <c r="N206" s="7"/>
      <c r="O206" s="7"/>
      <c r="P206" s="7"/>
    </row>
    <row r="207" spans="1:16">
      <c r="A207" s="7"/>
      <c r="B207" s="7"/>
      <c r="C207" s="7"/>
      <c r="D207" s="7"/>
      <c r="E207" s="7"/>
      <c r="F207" s="7"/>
      <c r="G207" s="7"/>
      <c r="H207" s="7"/>
      <c r="I207" s="7"/>
      <c r="J207" s="7"/>
      <c r="K207" s="7"/>
      <c r="L207" s="7"/>
      <c r="M207" s="7"/>
      <c r="N207" s="7"/>
      <c r="O207" s="7"/>
      <c r="P207" s="7"/>
    </row>
    <row r="208" spans="1:16">
      <c r="A208" s="7"/>
      <c r="B208" s="7"/>
      <c r="C208" s="7"/>
      <c r="D208" s="7"/>
      <c r="E208" s="7"/>
      <c r="F208" s="7"/>
      <c r="G208" s="7"/>
      <c r="H208" s="7"/>
      <c r="I208" s="7"/>
      <c r="J208" s="7"/>
      <c r="K208" s="7"/>
      <c r="L208" s="7"/>
      <c r="M208" s="7"/>
      <c r="N208" s="7"/>
      <c r="O208" s="7"/>
      <c r="P208" s="7"/>
    </row>
    <row r="209" spans="1:16">
      <c r="A209" s="7"/>
      <c r="B209" s="7"/>
      <c r="C209" s="7"/>
      <c r="D209" s="7"/>
      <c r="E209" s="7"/>
      <c r="F209" s="7"/>
      <c r="G209" s="7"/>
      <c r="H209" s="7"/>
      <c r="I209" s="7"/>
      <c r="J209" s="7"/>
      <c r="K209" s="7"/>
      <c r="L209" s="7"/>
      <c r="M209" s="7"/>
      <c r="N209" s="7"/>
      <c r="O209" s="7"/>
      <c r="P209" s="7"/>
    </row>
    <row r="210" spans="1:16">
      <c r="A210" s="7"/>
      <c r="B210" s="7"/>
      <c r="C210" s="7"/>
      <c r="D210" s="7"/>
      <c r="E210" s="7"/>
      <c r="F210" s="7"/>
      <c r="G210" s="7"/>
      <c r="H210" s="7"/>
      <c r="I210" s="7"/>
      <c r="J210" s="7"/>
      <c r="K210" s="7"/>
      <c r="L210" s="7"/>
      <c r="M210" s="7"/>
      <c r="N210" s="7"/>
      <c r="O210" s="7"/>
      <c r="P210" s="7"/>
    </row>
    <row r="211" spans="1:16">
      <c r="A211" s="7"/>
      <c r="B211" s="7"/>
      <c r="C211" s="7"/>
      <c r="D211" s="7"/>
      <c r="E211" s="7"/>
      <c r="F211" s="7"/>
      <c r="G211" s="7"/>
      <c r="H211" s="7"/>
      <c r="I211" s="7"/>
      <c r="J211" s="7"/>
      <c r="K211" s="7"/>
      <c r="L211" s="7"/>
      <c r="M211" s="7"/>
      <c r="N211" s="7"/>
      <c r="O211" s="7"/>
      <c r="P211" s="7"/>
    </row>
    <row r="212" spans="1:16">
      <c r="A212" s="7"/>
      <c r="B212" s="7"/>
      <c r="C212" s="7"/>
      <c r="D212" s="7"/>
      <c r="E212" s="7"/>
      <c r="F212" s="7"/>
      <c r="G212" s="7"/>
      <c r="H212" s="7"/>
      <c r="I212" s="7"/>
      <c r="J212" s="7"/>
      <c r="K212" s="7"/>
      <c r="L212" s="7"/>
      <c r="M212" s="7"/>
      <c r="N212" s="7"/>
      <c r="O212" s="7"/>
      <c r="P212" s="7"/>
    </row>
    <row r="213" spans="1:16">
      <c r="A213" s="7"/>
      <c r="B213" s="7"/>
      <c r="C213" s="7"/>
      <c r="D213" s="7"/>
      <c r="E213" s="7"/>
      <c r="F213" s="7"/>
      <c r="G213" s="7"/>
      <c r="H213" s="7"/>
      <c r="I213" s="7"/>
      <c r="J213" s="7"/>
      <c r="K213" s="7"/>
      <c r="L213" s="7"/>
      <c r="M213" s="7"/>
      <c r="N213" s="7"/>
      <c r="O213" s="7"/>
      <c r="P213" s="7"/>
    </row>
    <row r="214" spans="1:16">
      <c r="A214" s="7"/>
      <c r="B214" s="7"/>
      <c r="C214" s="7"/>
      <c r="D214" s="7"/>
      <c r="E214" s="7"/>
      <c r="F214" s="7"/>
      <c r="G214" s="7"/>
      <c r="H214" s="7"/>
      <c r="I214" s="7"/>
      <c r="J214" s="7"/>
      <c r="K214" s="7"/>
      <c r="L214" s="7"/>
      <c r="M214" s="7"/>
      <c r="N214" s="7"/>
      <c r="O214" s="7"/>
      <c r="P214" s="7"/>
    </row>
    <row r="215" spans="1:16">
      <c r="A215" s="7"/>
      <c r="B215" s="7"/>
      <c r="C215" s="7"/>
      <c r="D215" s="7"/>
      <c r="E215" s="7"/>
      <c r="F215" s="7"/>
      <c r="G215" s="7"/>
      <c r="H215" s="7"/>
      <c r="I215" s="7"/>
      <c r="J215" s="7"/>
      <c r="K215" s="7"/>
      <c r="L215" s="7"/>
      <c r="M215" s="7"/>
      <c r="N215" s="7"/>
      <c r="O215" s="7"/>
      <c r="P215" s="7"/>
    </row>
    <row r="216" spans="1:16">
      <c r="A216" s="7"/>
      <c r="B216" s="7"/>
      <c r="C216" s="7"/>
      <c r="D216" s="7"/>
      <c r="E216" s="7"/>
      <c r="F216" s="7"/>
      <c r="G216" s="7"/>
      <c r="H216" s="7"/>
      <c r="I216" s="7"/>
      <c r="J216" s="7"/>
      <c r="K216" s="7"/>
      <c r="L216" s="7"/>
      <c r="M216" s="7"/>
      <c r="N216" s="7"/>
      <c r="O216" s="7"/>
      <c r="P216" s="7"/>
    </row>
    <row r="217" spans="1:16">
      <c r="A217" s="7"/>
      <c r="B217" s="7"/>
      <c r="C217" s="7"/>
      <c r="D217" s="7"/>
      <c r="E217" s="7"/>
      <c r="F217" s="7"/>
      <c r="G217" s="7"/>
      <c r="H217" s="7"/>
      <c r="I217" s="7"/>
      <c r="J217" s="7"/>
      <c r="K217" s="7"/>
      <c r="L217" s="7"/>
      <c r="M217" s="7"/>
      <c r="N217" s="7"/>
      <c r="O217" s="7"/>
      <c r="P217" s="7"/>
    </row>
    <row r="218" spans="1:16">
      <c r="A218" s="7"/>
      <c r="B218" s="7"/>
      <c r="C218" s="7"/>
      <c r="D218" s="7"/>
      <c r="E218" s="7"/>
      <c r="F218" s="7"/>
      <c r="G218" s="7"/>
      <c r="H218" s="7"/>
      <c r="I218" s="7"/>
      <c r="J218" s="7"/>
      <c r="K218" s="7"/>
      <c r="L218" s="7"/>
      <c r="M218" s="7"/>
      <c r="N218" s="7"/>
      <c r="O218" s="7"/>
      <c r="P218" s="7"/>
    </row>
    <row r="219" spans="1:16">
      <c r="A219" s="7"/>
      <c r="B219" s="7"/>
      <c r="C219" s="7"/>
      <c r="D219" s="7"/>
      <c r="E219" s="7"/>
      <c r="F219" s="7"/>
      <c r="G219" s="7"/>
      <c r="H219" s="7"/>
      <c r="I219" s="7"/>
      <c r="J219" s="7"/>
      <c r="K219" s="7"/>
      <c r="L219" s="7"/>
      <c r="M219" s="7"/>
      <c r="N219" s="7"/>
      <c r="O219" s="7"/>
      <c r="P219" s="7"/>
    </row>
    <row r="220" spans="1:16">
      <c r="A220" s="7"/>
      <c r="B220" s="7"/>
      <c r="C220" s="7"/>
      <c r="D220" s="7"/>
      <c r="E220" s="7"/>
      <c r="F220" s="7"/>
      <c r="G220" s="7"/>
      <c r="H220" s="7"/>
      <c r="I220" s="7"/>
      <c r="J220" s="7"/>
      <c r="K220" s="7"/>
      <c r="L220" s="7"/>
      <c r="M220" s="7"/>
      <c r="N220" s="7"/>
      <c r="O220" s="7"/>
      <c r="P220" s="7"/>
    </row>
    <row r="221" spans="1:16">
      <c r="A221" s="7"/>
      <c r="B221" s="7"/>
      <c r="C221" s="7"/>
      <c r="D221" s="7"/>
      <c r="E221" s="7"/>
      <c r="F221" s="7"/>
      <c r="G221" s="7"/>
      <c r="H221" s="7"/>
      <c r="I221" s="7"/>
      <c r="J221" s="7"/>
      <c r="K221" s="7"/>
      <c r="L221" s="7"/>
      <c r="M221" s="7"/>
      <c r="N221" s="7"/>
      <c r="O221" s="7"/>
      <c r="P221" s="7"/>
    </row>
  </sheetData>
  <sheetProtection password="C613" sheet="1" objects="1" scenarios="1"/>
  <phoneticPr fontId="0" type="noConversion"/>
  <pageMargins left="0.75" right="0.75" top="1" bottom="1" header="0.5" footer="0.5"/>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dimension ref="B1:BW42"/>
  <sheetViews>
    <sheetView workbookViewId="0">
      <selection activeCell="D1" sqref="D1"/>
    </sheetView>
  </sheetViews>
  <sheetFormatPr defaultColWidth="9" defaultRowHeight="15"/>
  <cols>
    <col min="1" max="1" width="0.125" customWidth="1"/>
    <col min="2" max="3" width="1.625" hidden="1" customWidth="1"/>
    <col min="4" max="4" width="0.75" customWidth="1"/>
    <col min="5" max="14" width="1.375" customWidth="1"/>
    <col min="15" max="15" width="1.125" customWidth="1"/>
    <col min="16" max="25" width="1.375" customWidth="1"/>
    <col min="26" max="26" width="1.625" customWidth="1"/>
    <col min="27" max="27" width="1.125" customWidth="1"/>
    <col min="28" max="37" width="1.375" customWidth="1"/>
    <col min="38" max="38" width="1" customWidth="1"/>
    <col min="39" max="48" width="1.375" customWidth="1"/>
    <col min="49" max="50" width="0.875" customWidth="1"/>
    <col min="51" max="51" width="1.625" customWidth="1"/>
    <col min="52" max="61" width="1.375" customWidth="1"/>
    <col min="62" max="62" width="1" customWidth="1"/>
    <col min="63" max="74" width="1.375" customWidth="1"/>
  </cols>
  <sheetData>
    <row r="1" spans="4:75" ht="49.5" customHeight="1">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4:75" ht="22.5">
      <c r="D2" s="3"/>
      <c r="E2" s="20" t="s">
        <v>17</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4:75" ht="22.5">
      <c r="D3" s="3"/>
      <c r="E3" s="20" t="s">
        <v>19</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row>
    <row r="4" spans="4:75" ht="22.5">
      <c r="D4" s="3"/>
      <c r="E4" s="20" t="s">
        <v>18</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4:75" ht="31.5" customHeight="1">
      <c r="D5" s="283"/>
      <c r="E5" s="177"/>
      <c r="F5" s="177"/>
      <c r="G5" s="177"/>
      <c r="H5" s="177"/>
      <c r="I5" s="177"/>
      <c r="J5" s="177"/>
      <c r="K5" s="177"/>
      <c r="L5" s="177"/>
      <c r="M5" s="177"/>
      <c r="N5" s="177"/>
      <c r="O5" s="177"/>
      <c r="P5" s="177"/>
      <c r="Q5" s="177"/>
      <c r="R5" s="177"/>
      <c r="S5" s="177"/>
      <c r="T5" s="177"/>
      <c r="U5" s="177"/>
      <c r="V5" s="177"/>
      <c r="W5" s="177"/>
      <c r="X5" s="177"/>
      <c r="Y5" s="177"/>
      <c r="Z5" s="178"/>
      <c r="AA5" s="285"/>
      <c r="AB5" s="176"/>
      <c r="AC5" s="177"/>
      <c r="AD5" s="177"/>
      <c r="AE5" s="177"/>
      <c r="AF5" s="177"/>
      <c r="AG5" s="177"/>
      <c r="AH5" s="177"/>
      <c r="AI5" s="177"/>
      <c r="AJ5" s="177"/>
      <c r="AK5" s="177"/>
      <c r="AL5" s="177"/>
      <c r="AM5" s="177"/>
      <c r="AN5" s="177"/>
      <c r="AO5" s="177"/>
      <c r="AP5" s="177"/>
      <c r="AQ5" s="192"/>
      <c r="AR5" s="192"/>
      <c r="AS5" s="192"/>
      <c r="AT5" s="192"/>
      <c r="AU5" s="192"/>
      <c r="AV5" s="192"/>
      <c r="AW5" s="193"/>
      <c r="AX5" s="287"/>
      <c r="AY5" s="198"/>
      <c r="AZ5" s="192"/>
      <c r="BA5" s="192"/>
      <c r="BB5" s="192"/>
      <c r="BC5" s="192"/>
      <c r="BD5" s="192"/>
      <c r="BE5" s="192"/>
      <c r="BF5" s="192"/>
      <c r="BG5" s="192"/>
      <c r="BH5" s="192"/>
      <c r="BI5" s="192"/>
      <c r="BJ5" s="192"/>
      <c r="BK5" s="192"/>
      <c r="BL5" s="192"/>
      <c r="BM5" s="192"/>
      <c r="BN5" s="192"/>
      <c r="BO5" s="192"/>
      <c r="BP5" s="192"/>
      <c r="BQ5" s="192"/>
      <c r="BR5" s="192"/>
      <c r="BS5" s="192"/>
      <c r="BT5" s="192"/>
      <c r="BU5" s="193"/>
      <c r="BV5" s="3"/>
      <c r="BW5" s="3"/>
    </row>
    <row r="6" spans="4:75" ht="22.5" customHeight="1" thickBot="1">
      <c r="D6" s="284"/>
      <c r="E6" s="272">
        <v>1</v>
      </c>
      <c r="F6" s="273"/>
      <c r="G6" s="273"/>
      <c r="H6" s="163"/>
      <c r="I6" s="163"/>
      <c r="J6" s="163"/>
      <c r="K6" s="163"/>
      <c r="L6" s="163"/>
      <c r="M6" s="163"/>
      <c r="N6" s="163"/>
      <c r="O6" s="163"/>
      <c r="P6" s="163"/>
      <c r="Q6" s="163"/>
      <c r="R6" s="163"/>
      <c r="S6" s="163"/>
      <c r="T6" s="163"/>
      <c r="U6" s="163"/>
      <c r="V6" s="163"/>
      <c r="W6" s="163"/>
      <c r="X6" s="163"/>
      <c r="Y6" s="163"/>
      <c r="Z6" s="179"/>
      <c r="AA6" s="163"/>
      <c r="AB6" s="194"/>
      <c r="AC6" s="161"/>
      <c r="AD6" s="161"/>
      <c r="AE6" s="278">
        <v>0.3</v>
      </c>
      <c r="AF6" s="278"/>
      <c r="AG6" s="278"/>
      <c r="AH6" s="278"/>
      <c r="AI6" s="163"/>
      <c r="AJ6" s="163"/>
      <c r="AK6" s="163"/>
      <c r="AL6" s="163"/>
      <c r="AM6" s="163"/>
      <c r="AN6" s="163"/>
      <c r="AO6" s="163"/>
      <c r="AP6" s="163"/>
      <c r="AQ6" s="163"/>
      <c r="AR6" s="163"/>
      <c r="AS6" s="163"/>
      <c r="AT6" s="163"/>
      <c r="AU6" s="163"/>
      <c r="AV6" s="163"/>
      <c r="AW6" s="179"/>
      <c r="AX6" s="163"/>
      <c r="AY6" s="270">
        <v>12</v>
      </c>
      <c r="AZ6" s="271"/>
      <c r="BA6" s="271"/>
      <c r="BB6" s="271"/>
      <c r="BC6" s="269" t="s">
        <v>102</v>
      </c>
      <c r="BD6" s="269"/>
      <c r="BE6" s="269"/>
      <c r="BF6" s="163"/>
      <c r="BG6" s="163"/>
      <c r="BH6" s="163"/>
      <c r="BI6" s="163"/>
      <c r="BJ6" s="163"/>
      <c r="BK6" s="163"/>
      <c r="BL6" s="163"/>
      <c r="BM6" s="163"/>
      <c r="BN6" s="163"/>
      <c r="BO6" s="163"/>
      <c r="BP6" s="163"/>
      <c r="BQ6" s="163"/>
      <c r="BR6" s="163"/>
      <c r="BS6" s="163"/>
      <c r="BT6" s="163"/>
      <c r="BU6" s="182"/>
      <c r="BV6" s="2"/>
      <c r="BW6" s="2"/>
    </row>
    <row r="7" spans="4:75" ht="24.75" customHeight="1" thickTop="1">
      <c r="D7" s="284"/>
      <c r="E7" s="274">
        <v>2</v>
      </c>
      <c r="F7" s="275"/>
      <c r="G7" s="275"/>
      <c r="H7" s="180">
        <f>E6/E7</f>
        <v>0.5</v>
      </c>
      <c r="I7" s="163"/>
      <c r="J7" s="163"/>
      <c r="K7" s="163"/>
      <c r="L7" s="163"/>
      <c r="M7" s="163"/>
      <c r="N7" s="163"/>
      <c r="O7" s="163"/>
      <c r="P7" s="163"/>
      <c r="Q7" s="163"/>
      <c r="R7" s="163"/>
      <c r="S7" s="163"/>
      <c r="T7" s="163"/>
      <c r="U7" s="163"/>
      <c r="V7" s="163"/>
      <c r="W7" s="163"/>
      <c r="X7" s="163"/>
      <c r="Y7" s="163"/>
      <c r="Z7" s="179"/>
      <c r="AA7" s="163"/>
      <c r="AB7" s="194"/>
      <c r="AC7" s="161"/>
      <c r="AD7" s="161"/>
      <c r="AE7" s="278"/>
      <c r="AF7" s="278"/>
      <c r="AG7" s="278"/>
      <c r="AH7" s="278"/>
      <c r="AI7" s="163"/>
      <c r="AJ7" s="163"/>
      <c r="AK7" s="163"/>
      <c r="AL7" s="163"/>
      <c r="AM7" s="163"/>
      <c r="AN7" s="163"/>
      <c r="AO7" s="163"/>
      <c r="AP7" s="163"/>
      <c r="AQ7" s="163"/>
      <c r="AR7" s="163"/>
      <c r="AS7" s="163"/>
      <c r="AT7" s="163"/>
      <c r="AU7" s="163"/>
      <c r="AV7" s="163"/>
      <c r="AW7" s="179"/>
      <c r="AX7" s="163"/>
      <c r="AY7" s="276">
        <v>100</v>
      </c>
      <c r="AZ7" s="277"/>
      <c r="BA7" s="277"/>
      <c r="BB7" s="277"/>
      <c r="BC7" s="180">
        <f>AY6/AY7</f>
        <v>0.12</v>
      </c>
      <c r="BD7" s="163"/>
      <c r="BE7" s="163"/>
      <c r="BF7" s="163"/>
      <c r="BG7" s="163"/>
      <c r="BH7" s="163"/>
      <c r="BI7" s="163"/>
      <c r="BJ7" s="163"/>
      <c r="BK7" s="163"/>
      <c r="BL7" s="163"/>
      <c r="BM7" s="163"/>
      <c r="BN7" s="163"/>
      <c r="BO7" s="163"/>
      <c r="BP7" s="163"/>
      <c r="BQ7" s="163"/>
      <c r="BR7" s="163"/>
      <c r="BS7" s="163"/>
      <c r="BT7" s="163"/>
      <c r="BU7" s="182"/>
      <c r="BV7" s="2"/>
      <c r="BW7" s="2"/>
    </row>
    <row r="8" spans="4:75" ht="9.75" customHeight="1">
      <c r="D8" s="284"/>
      <c r="E8" s="163"/>
      <c r="F8" s="163"/>
      <c r="G8" s="163"/>
      <c r="H8" s="163"/>
      <c r="I8" s="163"/>
      <c r="J8" s="135"/>
      <c r="K8" s="135"/>
      <c r="L8" s="135"/>
      <c r="M8" s="135"/>
      <c r="N8" s="135"/>
      <c r="O8" s="135"/>
      <c r="P8" s="135"/>
      <c r="Q8" s="135"/>
      <c r="R8" s="135"/>
      <c r="S8" s="135"/>
      <c r="T8" s="135"/>
      <c r="U8" s="135"/>
      <c r="V8" s="135"/>
      <c r="W8" s="135"/>
      <c r="X8" s="135"/>
      <c r="Y8" s="135"/>
      <c r="Z8" s="182"/>
      <c r="AA8" s="135"/>
      <c r="AB8" s="181"/>
      <c r="AC8" s="163"/>
      <c r="AD8" s="163"/>
      <c r="AE8" s="163"/>
      <c r="AF8" s="163"/>
      <c r="AG8" s="135"/>
      <c r="AH8" s="135"/>
      <c r="AI8" s="135"/>
      <c r="AJ8" s="135"/>
      <c r="AK8" s="135"/>
      <c r="AL8" s="135"/>
      <c r="AM8" s="135"/>
      <c r="AN8" s="135"/>
      <c r="AO8" s="135"/>
      <c r="AP8" s="135"/>
      <c r="AQ8" s="135"/>
      <c r="AR8" s="135"/>
      <c r="AS8" s="135"/>
      <c r="AT8" s="135"/>
      <c r="AU8" s="135"/>
      <c r="AV8" s="135"/>
      <c r="AW8" s="182"/>
      <c r="AX8" s="135"/>
      <c r="AY8" s="187"/>
      <c r="AZ8" s="163"/>
      <c r="BA8" s="163"/>
      <c r="BB8" s="163"/>
      <c r="BC8" s="163"/>
      <c r="BD8" s="163"/>
      <c r="BE8" s="135"/>
      <c r="BF8" s="135"/>
      <c r="BG8" s="135"/>
      <c r="BH8" s="135"/>
      <c r="BI8" s="135"/>
      <c r="BJ8" s="135"/>
      <c r="BK8" s="135"/>
      <c r="BL8" s="135"/>
      <c r="BM8" s="135"/>
      <c r="BN8" s="135"/>
      <c r="BO8" s="135"/>
      <c r="BP8" s="135"/>
      <c r="BQ8" s="135"/>
      <c r="BR8" s="135"/>
      <c r="BS8" s="135"/>
      <c r="BT8" s="135"/>
      <c r="BU8" s="182"/>
      <c r="BV8" s="2"/>
      <c r="BW8" s="2"/>
    </row>
    <row r="9" spans="4:75" ht="17.25" thickBot="1">
      <c r="D9" s="284"/>
      <c r="E9" s="281"/>
      <c r="F9" s="183" t="s">
        <v>11</v>
      </c>
      <c r="G9" s="163"/>
      <c r="H9" s="163"/>
      <c r="I9" s="163"/>
      <c r="J9" s="135"/>
      <c r="K9" s="135"/>
      <c r="L9" s="135"/>
      <c r="M9" s="135"/>
      <c r="N9" s="135"/>
      <c r="O9" s="135"/>
      <c r="P9" s="135"/>
      <c r="Q9" s="135"/>
      <c r="R9" s="135"/>
      <c r="S9" s="135"/>
      <c r="T9" s="135"/>
      <c r="U9" s="135"/>
      <c r="V9" s="135"/>
      <c r="W9" s="135"/>
      <c r="X9" s="135"/>
      <c r="Y9" s="135"/>
      <c r="Z9" s="182"/>
      <c r="AA9" s="135"/>
      <c r="AB9" s="181"/>
      <c r="AC9" s="195" t="s">
        <v>11</v>
      </c>
      <c r="AD9" s="163"/>
      <c r="AE9" s="163"/>
      <c r="AF9" s="163"/>
      <c r="AG9" s="135"/>
      <c r="AH9" s="135"/>
      <c r="AI9" s="135"/>
      <c r="AJ9" s="135"/>
      <c r="AK9" s="135"/>
      <c r="AL9" s="135"/>
      <c r="AM9" s="135"/>
      <c r="AN9" s="135"/>
      <c r="AO9" s="135"/>
      <c r="AP9" s="135"/>
      <c r="AQ9" s="135"/>
      <c r="AR9" s="135"/>
      <c r="AS9" s="135"/>
      <c r="AT9" s="135"/>
      <c r="AU9" s="135"/>
      <c r="AV9" s="135"/>
      <c r="AW9" s="182"/>
      <c r="AX9" s="135"/>
      <c r="AY9" s="187"/>
      <c r="AZ9" s="163"/>
      <c r="BA9" s="199" t="s">
        <v>11</v>
      </c>
      <c r="BB9" s="163"/>
      <c r="BC9" s="163"/>
      <c r="BD9" s="163"/>
      <c r="BE9" s="135"/>
      <c r="BF9" s="135"/>
      <c r="BG9" s="135"/>
      <c r="BH9" s="135"/>
      <c r="BI9" s="135"/>
      <c r="BJ9" s="135"/>
      <c r="BK9" s="135"/>
      <c r="BL9" s="135"/>
      <c r="BM9" s="135"/>
      <c r="BN9" s="135"/>
      <c r="BO9" s="135"/>
      <c r="BP9" s="135"/>
      <c r="BQ9" s="135"/>
      <c r="BR9" s="135"/>
      <c r="BS9" s="135"/>
      <c r="BT9" s="135"/>
      <c r="BU9" s="182"/>
      <c r="BV9" s="2"/>
      <c r="BW9" s="2"/>
    </row>
    <row r="10" spans="4:75" ht="11.25" customHeight="1" thickTop="1" thickBot="1">
      <c r="D10" s="284"/>
      <c r="E10" s="184" t="str">
        <f>IF(H7=0.01,"J",IF(H7&gt;0.01,"J",""))</f>
        <v>J</v>
      </c>
      <c r="F10" s="139" t="str">
        <f>IF(H7=0.02,"J",IF(H7&gt;0.02,"J",""))</f>
        <v>J</v>
      </c>
      <c r="G10" s="139" t="str">
        <f>IF(H7=0.03,"J",IF(H7&gt;0.03,"J",""))</f>
        <v>J</v>
      </c>
      <c r="H10" s="139" t="str">
        <f>IF(H7=0.04,"J",IF(H7&gt;0.04,"J",""))</f>
        <v>J</v>
      </c>
      <c r="I10" s="139" t="str">
        <f>IF(H7=0.05,"J",IF(H7&gt;0.05,"J",""))</f>
        <v>J</v>
      </c>
      <c r="J10" s="139" t="str">
        <f>IF(H7=0.06,"J",IF(H7&gt;0.06,"J",""))</f>
        <v>J</v>
      </c>
      <c r="K10" s="139" t="str">
        <f>IF(H7=0.07,"J",IF(H7&gt;0.07,"J",""))</f>
        <v>J</v>
      </c>
      <c r="L10" s="139" t="str">
        <f>IF(H7=0.08,"J",IF(H7&gt;0.08,"J",""))</f>
        <v>J</v>
      </c>
      <c r="M10" s="139" t="str">
        <f>IF(H7=0.09,"J",IF(H7&gt;0.09,"J",""))</f>
        <v>J</v>
      </c>
      <c r="N10" s="140" t="str">
        <f>IF(H7=0.1,"J",IF(H7&gt;0.1,"J",""))</f>
        <v>J</v>
      </c>
      <c r="O10" s="135"/>
      <c r="P10" s="138" t="str">
        <f>IF(H7=1.01,"J",IF(H7&gt;1.01,"J",""))</f>
        <v/>
      </c>
      <c r="Q10" s="139" t="str">
        <f>IF(H7=1.02,"J",IF(H7&gt;1.02,"J",""))</f>
        <v/>
      </c>
      <c r="R10" s="139" t="str">
        <f>IF(H7=1.03,"J",IF(H7&gt;1.03,"J",""))</f>
        <v/>
      </c>
      <c r="S10" s="139" t="str">
        <f>IF(H7=1.04,"J",IF(H7&gt;1.04,"J",""))</f>
        <v/>
      </c>
      <c r="T10" s="139" t="str">
        <f>IF(H7=1.05,"J",IF(H7&gt;1.05,"J",""))</f>
        <v/>
      </c>
      <c r="U10" s="139" t="str">
        <f>IF(H7=1.06,"J",IF(H7&gt;1.06,"J",""))</f>
        <v/>
      </c>
      <c r="V10" s="139" t="str">
        <f>IF(H7=1.07,"J",IF(H7&gt;1.07,"J",""))</f>
        <v/>
      </c>
      <c r="W10" s="139" t="str">
        <f>IF(H7=1.08,"J",IF(H7&gt;1.08,"J",""))</f>
        <v/>
      </c>
      <c r="X10" s="139" t="str">
        <f>IF(H7=1.09,"J",IF(H7&gt;1.09,"J",""))</f>
        <v/>
      </c>
      <c r="Y10" s="140" t="str">
        <f>IF(H7=1.1,"J",IF(H7&gt;1.1,"J",""))</f>
        <v/>
      </c>
      <c r="Z10" s="182"/>
      <c r="AA10" s="135"/>
      <c r="AB10" s="184" t="str">
        <f>IF(AE6=0.01,"J",IF(AE6&gt;0.01,"J",""))</f>
        <v>J</v>
      </c>
      <c r="AC10" s="139" t="str">
        <f>IF(AE6=0.02,"J",IF(AE6&gt;0.02,"J",""))</f>
        <v>J</v>
      </c>
      <c r="AD10" s="139" t="str">
        <f>IF(AE6=0.03,"J",IF(AE6&gt;0.03,"J",""))</f>
        <v>J</v>
      </c>
      <c r="AE10" s="139" t="str">
        <f>IF(AE6=0.04,"J",IF(AE6&gt;0.04,"J",""))</f>
        <v>J</v>
      </c>
      <c r="AF10" s="139" t="str">
        <f>IF(AE6=0.05,"J",IF(AE6&gt;0.05,"J",""))</f>
        <v>J</v>
      </c>
      <c r="AG10" s="139" t="str">
        <f>IF(AE6=0.06,"J",IF(AE6&gt;0.06,"J",""))</f>
        <v>J</v>
      </c>
      <c r="AH10" s="139" t="str">
        <f>IF(AE6=0.07,"J",IF(AE6&gt;0.07,"J",""))</f>
        <v>J</v>
      </c>
      <c r="AI10" s="139" t="str">
        <f>IF(AE6=0.08,"J",IF(AE6&gt;0.08,"J",""))</f>
        <v>J</v>
      </c>
      <c r="AJ10" s="139" t="str">
        <f>IF(AE6=0.09,"J",IF(AE6&gt;0.09,"J",""))</f>
        <v>J</v>
      </c>
      <c r="AK10" s="140" t="str">
        <f>IF(AE6=0.1,"J",IF(AE6&gt;0.1,"J",""))</f>
        <v>J</v>
      </c>
      <c r="AL10" s="135"/>
      <c r="AM10" s="138" t="str">
        <f>IF(AE6=1.01,"J",IF(AE6&gt;1.01,"J",""))</f>
        <v/>
      </c>
      <c r="AN10" s="139" t="str">
        <f>IF(AE6=1.02,"J",IF(AE6&gt;1.02,"J",""))</f>
        <v/>
      </c>
      <c r="AO10" s="139" t="str">
        <f>IF(AE6=1.03,"J",IF(AE6&gt;1.03,"J",""))</f>
        <v/>
      </c>
      <c r="AP10" s="139" t="str">
        <f>IF(AE6=1.04,"J",IF(AE6&gt;1.04,"J",""))</f>
        <v/>
      </c>
      <c r="AQ10" s="139" t="str">
        <f>IF(AE6=1.05,"J",IF(AE6&gt;1.05,"J",""))</f>
        <v/>
      </c>
      <c r="AR10" s="139" t="str">
        <f>IF(AE6=1.06,"J",IF(AE6&gt;1.06,"J",""))</f>
        <v/>
      </c>
      <c r="AS10" s="139" t="str">
        <f>IF(AE6=1.07,"J",IF(AE6&gt;1.07,"J",""))</f>
        <v/>
      </c>
      <c r="AT10" s="139" t="str">
        <f>IF(AE6=1.08,"J",IF(AE6&gt;1.08,"J",""))</f>
        <v/>
      </c>
      <c r="AU10" s="139" t="str">
        <f>IF(AE6=1.09,"J",IF(AE6&gt;1.09,"J",""))</f>
        <v/>
      </c>
      <c r="AV10" s="140" t="str">
        <f>IF(AE6=1.1,"J",IF(AE6&gt;1.1,"J",""))</f>
        <v/>
      </c>
      <c r="AW10" s="196"/>
      <c r="AX10" s="168"/>
      <c r="AY10" s="187"/>
      <c r="AZ10" s="138" t="str">
        <f>IF(BC7=0.01,"J",IF(BC7&gt;0.01,"J",""))</f>
        <v>J</v>
      </c>
      <c r="BA10" s="139" t="str">
        <f>IF(BC7=0.02,"J",IF(BC7&gt;0.02,"J",""))</f>
        <v>J</v>
      </c>
      <c r="BB10" s="139" t="str">
        <f>IF(BC7=0.03,"J",IF(BC7&gt;0.03,"J",""))</f>
        <v>J</v>
      </c>
      <c r="BC10" s="139" t="str">
        <f>IF(BC7=0.04,"J",IF(BC7&gt;0.04,"J",""))</f>
        <v>J</v>
      </c>
      <c r="BD10" s="139" t="str">
        <f>IF(BC7=0.05,"J",IF(BC7&gt;0.05,"J",""))</f>
        <v>J</v>
      </c>
      <c r="BE10" s="139" t="str">
        <f>IF(BC7=0.06,"J",IF(BC7&gt;0.06,"J",""))</f>
        <v>J</v>
      </c>
      <c r="BF10" s="139" t="str">
        <f>IF(BC7=0.07,"J",IF(BC7&gt;0.07,"J",""))</f>
        <v>J</v>
      </c>
      <c r="BG10" s="139" t="str">
        <f>IF(BC7=0.08,"J",IF(BC7&gt;0.08,"J",""))</f>
        <v>J</v>
      </c>
      <c r="BH10" s="139" t="str">
        <f>IF(BC7=0.09,"J",IF(BC7&gt;0.09,"J",""))</f>
        <v>J</v>
      </c>
      <c r="BI10" s="140" t="str">
        <f>IF(BC7=0.1,"J",IF(BC7&gt;0.1,"J",""))</f>
        <v>J</v>
      </c>
      <c r="BJ10" s="135"/>
      <c r="BK10" s="138" t="str">
        <f>IF(BC7=1.01,"J",IF(BC7&gt;1.01,"J",""))</f>
        <v/>
      </c>
      <c r="BL10" s="139" t="str">
        <f>IF(BC7=1.02,"J",IF(BC7&gt;1.02,"J",""))</f>
        <v/>
      </c>
      <c r="BM10" s="139" t="str">
        <f>IF(BC7=1.03,"J",IF(BC7&gt;1.03,"J",""))</f>
        <v/>
      </c>
      <c r="BN10" s="139" t="str">
        <f>IF(BC7=1.04,"J",IF(BC7&gt;1.04,"J",""))</f>
        <v/>
      </c>
      <c r="BO10" s="139" t="str">
        <f>IF(BC7=1.05,"J",IF(BC7&gt;1.05,"J",""))</f>
        <v/>
      </c>
      <c r="BP10" s="139" t="str">
        <f>IF(BC7=1.06,"J",IF(BC7&gt;1.06,"J",""))</f>
        <v/>
      </c>
      <c r="BQ10" s="139" t="str">
        <f>IF(BC7=1.07,"J",IF(BC7&gt;1.07,"J",""))</f>
        <v/>
      </c>
      <c r="BR10" s="139" t="str">
        <f>IF(BC7=1.08,"J",IF(BC7&gt;1.08,"J",""))</f>
        <v/>
      </c>
      <c r="BS10" s="139" t="str">
        <f>IF(BC7=1.09,"J",IF(BC7&gt;1.09,"J",""))</f>
        <v/>
      </c>
      <c r="BT10" s="140" t="str">
        <f>IF(BC7=1.1,"J",IF(BC7&gt;1.1,"J",""))</f>
        <v/>
      </c>
      <c r="BU10" s="182"/>
      <c r="BV10" s="2"/>
      <c r="BW10" s="2"/>
    </row>
    <row r="11" spans="4:75" ht="11.25" customHeight="1" thickBot="1">
      <c r="D11" s="284"/>
      <c r="E11" s="185" t="str">
        <f>IF(H7=0.11,"J",IF(H7&gt;0.11,"J",""))</f>
        <v>J</v>
      </c>
      <c r="F11" s="143" t="str">
        <f>IF(H7=0.12,"J",IF(H7&gt;0.12,"J",""))</f>
        <v>J</v>
      </c>
      <c r="G11" s="143" t="str">
        <f>IF(H7=0.13,"J",IF(H7&gt;0.13,"J",""))</f>
        <v>J</v>
      </c>
      <c r="H11" s="143" t="str">
        <f>IF(H7=0.14,"J",IF(H7&gt;0.14,"J",""))</f>
        <v>J</v>
      </c>
      <c r="I11" s="143" t="str">
        <f>IF(H7=0.15,"J",IF(H7&gt;0.15,"J",""))</f>
        <v>J</v>
      </c>
      <c r="J11" s="143" t="str">
        <f>IF(H7=0.16,"J",IF(H7&gt;0.16,"J",""))</f>
        <v>J</v>
      </c>
      <c r="K11" s="143" t="str">
        <f>IF(H7=0.17,"J",IF(H7&gt;0.17,"J",""))</f>
        <v>J</v>
      </c>
      <c r="L11" s="143" t="str">
        <f>IF(H7=0.18,"J",IF(H7&gt;0.18,"J",""))</f>
        <v>J</v>
      </c>
      <c r="M11" s="143" t="str">
        <f>IF(H7=0.19,"J",IF(H7&gt;0.19,"J",""))</f>
        <v>J</v>
      </c>
      <c r="N11" s="144" t="str">
        <f>IF(H7=0.2,"J",IF(H7&gt;0.2,"J",""))</f>
        <v>J</v>
      </c>
      <c r="O11" s="135"/>
      <c r="P11" s="142" t="str">
        <f>IF(H7=1.11,"J",IF(H7&gt;1.11,"J",""))</f>
        <v/>
      </c>
      <c r="Q11" s="143" t="str">
        <f>IF(H7=1.12,"J",IF(H7&gt;1.12,"J",""))</f>
        <v/>
      </c>
      <c r="R11" s="143" t="str">
        <f>IF(H7=1.13,"J",IF(H7&gt;1.13,"J",""))</f>
        <v/>
      </c>
      <c r="S11" s="143" t="str">
        <f>IF(H7=1.14,"J",IF(H7&gt;1.14,"J",""))</f>
        <v/>
      </c>
      <c r="T11" s="143" t="str">
        <f>IF(H7=1.15,"J",IF(H7&gt;1.15,"J",""))</f>
        <v/>
      </c>
      <c r="U11" s="143" t="str">
        <f>IF(H7=1.16,"J",IF(H7&gt;1.16,"J",""))</f>
        <v/>
      </c>
      <c r="V11" s="143" t="str">
        <f>IF(H7=1.17,"J",IF(H7&gt;1.17,"J",""))</f>
        <v/>
      </c>
      <c r="W11" s="143" t="str">
        <f>IF(H7=1.18,"J",IF(H7&gt;1.18,"J",""))</f>
        <v/>
      </c>
      <c r="X11" s="143" t="str">
        <f>IF(H7=1.19,"J",IF(H7&gt;1.19,"J",""))</f>
        <v/>
      </c>
      <c r="Y11" s="144" t="str">
        <f>IF(H7=1.2,"J",IF(H7&gt;1.2,"J",""))</f>
        <v/>
      </c>
      <c r="Z11" s="182"/>
      <c r="AA11" s="135"/>
      <c r="AB11" s="185" t="str">
        <f>IF(AE6=0.11,"J",IF(AE6&gt;0.11,"J",""))</f>
        <v>J</v>
      </c>
      <c r="AC11" s="143" t="str">
        <f>IF(AE6=0.12,"J",IF(AE6&gt;0.12,"J",""))</f>
        <v>J</v>
      </c>
      <c r="AD11" s="143" t="str">
        <f>IF(AE6=0.13,"J",IF(AE6&gt;0.13,"J",""))</f>
        <v>J</v>
      </c>
      <c r="AE11" s="143" t="str">
        <f>IF(AE6=0.14,"J",IF(AE6&gt;0.14,"J",""))</f>
        <v>J</v>
      </c>
      <c r="AF11" s="143" t="str">
        <f>IF(AE6=0.15,"J",IF(AE6&gt;0.15,"J",""))</f>
        <v>J</v>
      </c>
      <c r="AG11" s="143" t="str">
        <f>IF(AE6=0.16,"J",IF(AE6&gt;0.16,"J",""))</f>
        <v>J</v>
      </c>
      <c r="AH11" s="143" t="str">
        <f>IF(AE6=0.17,"J",IF(AE6&gt;0.17,"J",""))</f>
        <v>J</v>
      </c>
      <c r="AI11" s="143" t="str">
        <f>IF(AE6=0.18,"J",IF(AE6&gt;0.18,"J",""))</f>
        <v>J</v>
      </c>
      <c r="AJ11" s="143" t="str">
        <f>IF(AE6=0.19,"J",IF(AE6&gt;0.19,"J",""))</f>
        <v>J</v>
      </c>
      <c r="AK11" s="144" t="str">
        <f>IF(AE6=0.2,"J",IF(AE6&gt;0.2,"J",""))</f>
        <v>J</v>
      </c>
      <c r="AL11" s="135"/>
      <c r="AM11" s="142" t="str">
        <f>IF(AE6=1.11,"J",IF(AE6&gt;1.11,"J",""))</f>
        <v/>
      </c>
      <c r="AN11" s="143" t="str">
        <f>IF(AE6=1.12,"J",IF(AE6&gt;1.12,"J",""))</f>
        <v/>
      </c>
      <c r="AO11" s="143" t="str">
        <f>IF(AE6=1.13,"J",IF(AE6&gt;1.13,"J",""))</f>
        <v/>
      </c>
      <c r="AP11" s="143" t="str">
        <f>IF(AE6=1.14,"J",IF(AE6&gt;1.14,"J",""))</f>
        <v/>
      </c>
      <c r="AQ11" s="143" t="str">
        <f>IF(AE6=1.15,"J",IF(AE6&gt;1.15,"J",""))</f>
        <v/>
      </c>
      <c r="AR11" s="143" t="str">
        <f>IF(AE6=1.16,"J",IF(AE6&gt;1.16,"J",""))</f>
        <v/>
      </c>
      <c r="AS11" s="143" t="str">
        <f>IF(AE6=1.17,"J",IF(AE6&gt;1.17,"J",""))</f>
        <v/>
      </c>
      <c r="AT11" s="143" t="str">
        <f>IF(AE6=1.18,"J",IF(AE6&gt;1.18,"J",""))</f>
        <v/>
      </c>
      <c r="AU11" s="143" t="str">
        <f>IF(AE6=1.19,"J",IF(AE6&gt;1.19,"J",""))</f>
        <v/>
      </c>
      <c r="AV11" s="144" t="str">
        <f>IF(AE6=1.2,"J",IF(AE6&gt;1.2,"J",""))</f>
        <v/>
      </c>
      <c r="AW11" s="196"/>
      <c r="AX11" s="168"/>
      <c r="AY11" s="187"/>
      <c r="AZ11" s="142" t="str">
        <f>IF(BC7=0.11,"J",IF(BC7&gt;0.11,"J",""))</f>
        <v>J</v>
      </c>
      <c r="BA11" s="143" t="str">
        <f>IF(BC7=0.12,"J",IF(BC7&gt;0.12,"J",""))</f>
        <v>J</v>
      </c>
      <c r="BB11" s="143" t="str">
        <f>IF(BC7=0.13,"J",IF(BC7&gt;0.13,"J",""))</f>
        <v/>
      </c>
      <c r="BC11" s="143" t="str">
        <f>IF(BC7=0.14,"J",IF(BC7&gt;0.14,"J",""))</f>
        <v/>
      </c>
      <c r="BD11" s="143" t="str">
        <f>IF(BC7=0.15,"J",IF(BC7&gt;0.15,"J",""))</f>
        <v/>
      </c>
      <c r="BE11" s="143" t="str">
        <f>IF(BC7=0.16,"J",IF(BC7&gt;0.16,"J",""))</f>
        <v/>
      </c>
      <c r="BF11" s="143" t="str">
        <f>IF(BC7=0.17,"J",IF(BC7&gt;0.17,"J",""))</f>
        <v/>
      </c>
      <c r="BG11" s="143" t="str">
        <f>IF(BC7=0.18,"J",IF(BC7&gt;0.18,"J",""))</f>
        <v/>
      </c>
      <c r="BH11" s="143" t="str">
        <f>IF(BC7=0.19,"J",IF(BC7&gt;0.19,"J",""))</f>
        <v/>
      </c>
      <c r="BI11" s="144" t="str">
        <f>IF(BC7=0.2,"J",IF(BC7&gt;0.2,"J",""))</f>
        <v/>
      </c>
      <c r="BJ11" s="135"/>
      <c r="BK11" s="142" t="str">
        <f>IF(BC7=1.11,"J",IF(BC7&gt;1.11,"J",""))</f>
        <v/>
      </c>
      <c r="BL11" s="143" t="str">
        <f>IF(BC7=1.12,"J",IF(BC7&gt;1.12,"J",""))</f>
        <v/>
      </c>
      <c r="BM11" s="143" t="str">
        <f>IF(BC7=1.13,"J",IF(BC7&gt;1.13,"J",""))</f>
        <v/>
      </c>
      <c r="BN11" s="143" t="str">
        <f>IF(BC7=1.14,"J",IF(BC7&gt;1.14,"J",""))</f>
        <v/>
      </c>
      <c r="BO11" s="143" t="str">
        <f>IF(BC7=1.15,"J",IF(BC7&gt;1.15,"J",""))</f>
        <v/>
      </c>
      <c r="BP11" s="143" t="str">
        <f>IF(BC7=1.16,"J",IF(BC7&gt;1.16,"J",""))</f>
        <v/>
      </c>
      <c r="BQ11" s="143" t="str">
        <f>IF(BC7=1.17,"J",IF(BC7&gt;1.17,"J",""))</f>
        <v/>
      </c>
      <c r="BR11" s="143" t="str">
        <f>IF(BC7=1.18,"J",IF(BC7&gt;1.18,"J",""))</f>
        <v/>
      </c>
      <c r="BS11" s="143" t="str">
        <f>IF(BC7=1.19,"J",IF(BC7&gt;1.19,"J",""))</f>
        <v/>
      </c>
      <c r="BT11" s="144" t="str">
        <f>IF(BC7=1.2,"J",IF(BC7&gt;1.2,"J",""))</f>
        <v/>
      </c>
      <c r="BU11" s="182"/>
      <c r="BV11" s="2"/>
      <c r="BW11" s="2"/>
    </row>
    <row r="12" spans="4:75" ht="11.25" customHeight="1" thickBot="1">
      <c r="D12" s="284"/>
      <c r="E12" s="185" t="str">
        <f>IF(H7=0.21,"J",IF(H7&gt;0.21,"J",""))</f>
        <v>J</v>
      </c>
      <c r="F12" s="143" t="str">
        <f>IF(H7=0.22,"J",IF(H7&gt;0.22,"J",""))</f>
        <v>J</v>
      </c>
      <c r="G12" s="143" t="str">
        <f>IF(H7=0.23,"J",IF(H7&gt;0.23,"J",""))</f>
        <v>J</v>
      </c>
      <c r="H12" s="143" t="str">
        <f>IF(H7=0.24,"J",IF(H7&gt;0.24,"J",""))</f>
        <v>J</v>
      </c>
      <c r="I12" s="143" t="str">
        <f>IF(H7=0.25,"J",IF(H7&gt;0.25,"J",""))</f>
        <v>J</v>
      </c>
      <c r="J12" s="143" t="str">
        <f>IF(H7=0.26,"J",IF(H7&gt;0.26,"J",""))</f>
        <v>J</v>
      </c>
      <c r="K12" s="143" t="str">
        <f>IF(H7=0.27,"J",IF(H7&gt;0.27,"J",""))</f>
        <v>J</v>
      </c>
      <c r="L12" s="143" t="str">
        <f>IF(H7=0.28,"J",IF(H7&gt;0.28,"J",""))</f>
        <v>J</v>
      </c>
      <c r="M12" s="143" t="str">
        <f>IF(H7=0.29,"J",IF(H7&gt;0.29,"J",""))</f>
        <v>J</v>
      </c>
      <c r="N12" s="144" t="str">
        <f>IF(H7=0.3,"J",IF(H7&gt;0.3,"J",""))</f>
        <v>J</v>
      </c>
      <c r="O12" s="135"/>
      <c r="P12" s="142" t="str">
        <f>IF(H7=1.21,"J",IF(H7&gt;1.21,"J",""))</f>
        <v/>
      </c>
      <c r="Q12" s="143" t="str">
        <f>IF(H7=1.22,"J",IF(H7&gt;1.22,"J",""))</f>
        <v/>
      </c>
      <c r="R12" s="143" t="str">
        <f>IF(H7=1.23,"J",IF(H7&gt;1.23,"J",""))</f>
        <v/>
      </c>
      <c r="S12" s="143" t="str">
        <f>IF(H7=1.24,"J",IF(H7&gt;1.24,"J",""))</f>
        <v/>
      </c>
      <c r="T12" s="143" t="str">
        <f>IF(H7=1.25,"J",IF(H7&gt;1.25,"J",""))</f>
        <v/>
      </c>
      <c r="U12" s="143" t="str">
        <f>IF(H7=1.26,"J",IF(H7&gt;1.26,"J",""))</f>
        <v/>
      </c>
      <c r="V12" s="143" t="str">
        <f>IF(H7=1.27,"J",IF(H7&gt;1.27,"J",""))</f>
        <v/>
      </c>
      <c r="W12" s="143" t="str">
        <f>IF(H7=1.28,"J",IF(H7&gt;1.28,"J",""))</f>
        <v/>
      </c>
      <c r="X12" s="143" t="str">
        <f>IF(H7=1.29,"J",IF(H7&gt;1.29,"J",""))</f>
        <v/>
      </c>
      <c r="Y12" s="144" t="str">
        <f>IF(H7=1.3,"J",IF(H7&gt;1.3,"J",""))</f>
        <v/>
      </c>
      <c r="Z12" s="182"/>
      <c r="AA12" s="135"/>
      <c r="AB12" s="185" t="str">
        <f>IF(AE6=0.21,"J",IF(AE6&gt;0.21,"J",""))</f>
        <v>J</v>
      </c>
      <c r="AC12" s="143" t="str">
        <f>IF(AE6=0.22,"J",IF(AE6&gt;0.22,"J",""))</f>
        <v>J</v>
      </c>
      <c r="AD12" s="143" t="str">
        <f>IF(AE6=0.23,"J",IF(AE6&gt;0.23,"J",""))</f>
        <v>J</v>
      </c>
      <c r="AE12" s="143" t="str">
        <f>IF(AE6=0.24,"J",IF(AE6&gt;0.24,"J",""))</f>
        <v>J</v>
      </c>
      <c r="AF12" s="143" t="str">
        <f>IF(AE6=0.25,"J",IF(AE6&gt;0.25,"J",""))</f>
        <v>J</v>
      </c>
      <c r="AG12" s="143" t="str">
        <f>IF(AE6=0.26,"J",IF(AE6&gt;0.26,"J",""))</f>
        <v>J</v>
      </c>
      <c r="AH12" s="143" t="str">
        <f>IF(AE6=0.27,"J",IF(AE6&gt;0.27,"J",""))</f>
        <v>J</v>
      </c>
      <c r="AI12" s="143" t="str">
        <f>IF(AE6=0.28,"J",IF(AE6&gt;0.28,"J",""))</f>
        <v>J</v>
      </c>
      <c r="AJ12" s="143" t="str">
        <f>IF(AE6=0.29,"J",IF(AE6&gt;0.29,"J",""))</f>
        <v>J</v>
      </c>
      <c r="AK12" s="144" t="str">
        <f>IF(AE6=0.3,"J",IF(AE6&gt;0.3,"J",""))</f>
        <v>J</v>
      </c>
      <c r="AL12" s="135"/>
      <c r="AM12" s="142" t="str">
        <f>IF(AE6=1.21,"J",IF(AE6&gt;1.21,"J",""))</f>
        <v/>
      </c>
      <c r="AN12" s="143" t="str">
        <f>IF(AE6=1.22,"J",IF(AE6&gt;1.22,"J",""))</f>
        <v/>
      </c>
      <c r="AO12" s="143" t="str">
        <f>IF(AE6=1.23,"J",IF(AE6&gt;1.23,"J",""))</f>
        <v/>
      </c>
      <c r="AP12" s="143" t="str">
        <f>IF(AE6=1.24,"J",IF(AE6&gt;1.24,"J",""))</f>
        <v/>
      </c>
      <c r="AQ12" s="143" t="str">
        <f>IF(AE6=1.25,"J",IF(AE6&gt;1.25,"J",""))</f>
        <v/>
      </c>
      <c r="AR12" s="143" t="str">
        <f>IF(AE6=1.26,"J",IF(AE6&gt;1.26,"J",""))</f>
        <v/>
      </c>
      <c r="AS12" s="143" t="str">
        <f>IF(AE6=1.27,"J",IF(AE6&gt;1.27,"J",""))</f>
        <v/>
      </c>
      <c r="AT12" s="143" t="str">
        <f>IF(AE6=1.28,"J",IF(AE6&gt;1.28,"J",""))</f>
        <v/>
      </c>
      <c r="AU12" s="143" t="str">
        <f>IF(AE6=1.29,"J",IF(AE6&gt;1.29,"J",""))</f>
        <v/>
      </c>
      <c r="AV12" s="144" t="str">
        <f>IF(AE6=1.3,"J",IF(AE6&gt;1.3,"J",""))</f>
        <v/>
      </c>
      <c r="AW12" s="196"/>
      <c r="AX12" s="168"/>
      <c r="AY12" s="187"/>
      <c r="AZ12" s="142" t="str">
        <f>IF(BC7=0.21,"J",IF(BC7&gt;0.21,"J",""))</f>
        <v/>
      </c>
      <c r="BA12" s="143" t="str">
        <f>IF(BC7=0.22,"J",IF(BC7&gt;0.22,"J",""))</f>
        <v/>
      </c>
      <c r="BB12" s="143" t="str">
        <f>IF(BC7=0.23,"J",IF(BC7&gt;0.23,"J",""))</f>
        <v/>
      </c>
      <c r="BC12" s="143" t="str">
        <f>IF(BC7=0.24,"J",IF(BC7&gt;0.24,"J",""))</f>
        <v/>
      </c>
      <c r="BD12" s="143" t="str">
        <f>IF(BC7=0.25,"J",IF(BC7&gt;0.25,"J",""))</f>
        <v/>
      </c>
      <c r="BE12" s="143" t="str">
        <f>IF(BC7=0.26,"J",IF(BC7&gt;0.26,"J",""))</f>
        <v/>
      </c>
      <c r="BF12" s="143" t="str">
        <f>IF(BC7=0.27,"J",IF(BC7&gt;0.27,"J",""))</f>
        <v/>
      </c>
      <c r="BG12" s="143" t="str">
        <f>IF(BC7=0.28,"J",IF(BC7&gt;0.28,"J",""))</f>
        <v/>
      </c>
      <c r="BH12" s="143" t="str">
        <f>IF(BC7=0.29,"J",IF(BC7&gt;0.29,"J",""))</f>
        <v/>
      </c>
      <c r="BI12" s="144" t="str">
        <f>IF(BC7=0.3,"J",IF(BC7&gt;0.3,"J",""))</f>
        <v/>
      </c>
      <c r="BJ12" s="135"/>
      <c r="BK12" s="142" t="str">
        <f>IF(BC7=1.21,"J",IF(BC7&gt;1.21,"J",""))</f>
        <v/>
      </c>
      <c r="BL12" s="143" t="str">
        <f>IF(BC7=1.22,"J",IF(BC7&gt;1.22,"J",""))</f>
        <v/>
      </c>
      <c r="BM12" s="143" t="str">
        <f>IF(BC7=1.23,"J",IF(BC7&gt;1.23,"J",""))</f>
        <v/>
      </c>
      <c r="BN12" s="143" t="str">
        <f>IF(BC7=1.24,"J",IF(BC7&gt;1.24,"J",""))</f>
        <v/>
      </c>
      <c r="BO12" s="143" t="str">
        <f>IF(BC7=1.25,"J",IF(BC7&gt;1.25,"J",""))</f>
        <v/>
      </c>
      <c r="BP12" s="143" t="str">
        <f>IF(BC7=1.26,"J",IF(BC7&gt;1.26,"J",""))</f>
        <v/>
      </c>
      <c r="BQ12" s="143" t="str">
        <f>IF(BC7=1.27,"J",IF(BC7&gt;1.27,"J",""))</f>
        <v/>
      </c>
      <c r="BR12" s="143" t="str">
        <f>IF(BC7=1.28,"J",IF(BC7&gt;1.28,"J",""))</f>
        <v/>
      </c>
      <c r="BS12" s="143" t="str">
        <f>IF(BC7=1.29,"J",IF(BC7&gt;1.29,"J",""))</f>
        <v/>
      </c>
      <c r="BT12" s="144" t="str">
        <f>IF(BC7=1.3,"J",IF(BC7&gt;1.3,"J",""))</f>
        <v/>
      </c>
      <c r="BU12" s="182"/>
      <c r="BV12" s="2"/>
      <c r="BW12" s="2"/>
    </row>
    <row r="13" spans="4:75" ht="11.25" customHeight="1" thickBot="1">
      <c r="D13" s="284"/>
      <c r="E13" s="185" t="str">
        <f>IF(H7=0.31,"J",IF(H7&gt;0.31,"J",""))</f>
        <v>J</v>
      </c>
      <c r="F13" s="143" t="str">
        <f>IF(H7=0.32,"J",IF(H7&gt;0.32,"J",""))</f>
        <v>J</v>
      </c>
      <c r="G13" s="143" t="str">
        <f>IF(H7=0.33,"J",IF(H7&gt;0.33,"J",""))</f>
        <v>J</v>
      </c>
      <c r="H13" s="143" t="str">
        <f>IF(H7=0.34,"J",IF(H7&gt;0.34,"J",""))</f>
        <v>J</v>
      </c>
      <c r="I13" s="143" t="str">
        <f>IF(H7=0.35,"J",IF(H7&gt;0.35,"J",""))</f>
        <v>J</v>
      </c>
      <c r="J13" s="143" t="str">
        <f>IF(H7=0.36,"J",IF(H7&gt;0.36,"J",""))</f>
        <v>J</v>
      </c>
      <c r="K13" s="143" t="str">
        <f>IF(H7=0.37,"J",IF(H7&gt;0.37,"J",""))</f>
        <v>J</v>
      </c>
      <c r="L13" s="143" t="str">
        <f>IF(H7=0.38,"J",IF(H7&gt;0.38,"J",""))</f>
        <v>J</v>
      </c>
      <c r="M13" s="143" t="str">
        <f>IF(H7=0.39,"J",IF(H7&gt;0.39,"J",""))</f>
        <v>J</v>
      </c>
      <c r="N13" s="144" t="str">
        <f>IF(H7=0.4,"J",IF(H7&gt;0.4,"J",""))</f>
        <v>J</v>
      </c>
      <c r="O13" s="135"/>
      <c r="P13" s="142" t="str">
        <f>IF(H7=1.31,"J",IF(H7&gt;1.31,"J",""))</f>
        <v/>
      </c>
      <c r="Q13" s="143" t="str">
        <f>IF(H7=1.32,"J",IF(H7&gt;1.32,"J",""))</f>
        <v/>
      </c>
      <c r="R13" s="143" t="str">
        <f>IF(H7=1.33,"J",IF(H7&gt;1.33,"J",""))</f>
        <v/>
      </c>
      <c r="S13" s="143" t="str">
        <f>IF(H7=1.34,"J",IF(H7&gt;1.34,"J",""))</f>
        <v/>
      </c>
      <c r="T13" s="143" t="str">
        <f>IF(H7=1.35,"J",IF(H7&gt;1.35,"J",""))</f>
        <v/>
      </c>
      <c r="U13" s="143" t="str">
        <f>IF(H7=1.36,"J",IF(H7&gt;1.36,"J",""))</f>
        <v/>
      </c>
      <c r="V13" s="143" t="str">
        <f>IF(H7=1.37,"J",IF(H7&gt;1.37,"J",""))</f>
        <v/>
      </c>
      <c r="W13" s="143" t="str">
        <f>IF(H7=1.38,"J",IF(H7&gt;1.38,"J",""))</f>
        <v/>
      </c>
      <c r="X13" s="143" t="str">
        <f>IF(H7=1.39,"J",IF(H7&gt;1.39,"J",""))</f>
        <v/>
      </c>
      <c r="Y13" s="144" t="str">
        <f>IF(H7=1.4,"J",IF(H7&gt;1.4,"J",""))</f>
        <v/>
      </c>
      <c r="Z13" s="182"/>
      <c r="AA13" s="135"/>
      <c r="AB13" s="185" t="str">
        <f>IF(AE6=0.31,"J",IF(AE6&gt;0.31,"J",""))</f>
        <v/>
      </c>
      <c r="AC13" s="143" t="str">
        <f>IF(AE6=0.32,"J",IF(AE6&gt;0.32,"J",""))</f>
        <v/>
      </c>
      <c r="AD13" s="143" t="str">
        <f>IF(AE6=0.33,"J",IF(AE6&gt;0.33,"J",""))</f>
        <v/>
      </c>
      <c r="AE13" s="143" t="str">
        <f>IF(AE6=0.34,"J",IF(AE6&gt;0.34,"J",""))</f>
        <v/>
      </c>
      <c r="AF13" s="143" t="str">
        <f>IF(AE6=0.35,"J",IF(AE6&gt;0.35,"J",""))</f>
        <v/>
      </c>
      <c r="AG13" s="143" t="str">
        <f>IF(AE6=0.36,"J",IF(AE6&gt;0.36,"J",""))</f>
        <v/>
      </c>
      <c r="AH13" s="143" t="str">
        <f>IF(AE6=0.37,"J",IF(AE6&gt;0.37,"J",""))</f>
        <v/>
      </c>
      <c r="AI13" s="143" t="str">
        <f>IF(AE6=0.38,"J",IF(AE6&gt;0.38,"J",""))</f>
        <v/>
      </c>
      <c r="AJ13" s="143" t="str">
        <f>IF(AE6=0.39,"J",IF(AE6&gt;0.39,"J",""))</f>
        <v/>
      </c>
      <c r="AK13" s="144" t="str">
        <f>IF(AE6=0.4,"J",IF(AE6&gt;0.4,"J",""))</f>
        <v/>
      </c>
      <c r="AL13" s="135"/>
      <c r="AM13" s="142" t="str">
        <f>IF(AE6=1.31,"J",IF(AE6&gt;1.31,"J",""))</f>
        <v/>
      </c>
      <c r="AN13" s="143" t="str">
        <f>IF(AE6=1.32,"J",IF(AE6&gt;1.32,"J",""))</f>
        <v/>
      </c>
      <c r="AO13" s="143" t="str">
        <f>IF(AE6=1.33,"J",IF(AE6&gt;1.33,"J",""))</f>
        <v/>
      </c>
      <c r="AP13" s="143" t="str">
        <f>IF(AE6=1.34,"J",IF(AE6&gt;1.34,"J",""))</f>
        <v/>
      </c>
      <c r="AQ13" s="143" t="str">
        <f>IF(AE6=1.35,"J",IF(AE6&gt;1.35,"J",""))</f>
        <v/>
      </c>
      <c r="AR13" s="143" t="str">
        <f>IF(AE6=1.36,"J",IF(AE6&gt;1.36,"J",""))</f>
        <v/>
      </c>
      <c r="AS13" s="143" t="str">
        <f>IF(AE6=1.37,"J",IF(AE6&gt;1.37,"J",""))</f>
        <v/>
      </c>
      <c r="AT13" s="143" t="str">
        <f>IF(AE6=1.38,"J",IF(AE6&gt;1.38,"J",""))</f>
        <v/>
      </c>
      <c r="AU13" s="143" t="str">
        <f>IF(AE6=1.39,"J",IF(AE6&gt;1.39,"J",""))</f>
        <v/>
      </c>
      <c r="AV13" s="144" t="str">
        <f>IF(AE6=1.4,"J",IF(AE6&gt;1.4,"J",""))</f>
        <v/>
      </c>
      <c r="AW13" s="196"/>
      <c r="AX13" s="168"/>
      <c r="AY13" s="187"/>
      <c r="AZ13" s="142" t="str">
        <f>IF(BC7=0.31,"J",IF(BC7&gt;0.31,"J",""))</f>
        <v/>
      </c>
      <c r="BA13" s="143" t="str">
        <f>IF(BC7=0.32,"J",IF(BC7&gt;0.32,"J",""))</f>
        <v/>
      </c>
      <c r="BB13" s="143" t="str">
        <f>IF(BC7=0.33,"J",IF(BC7&gt;0.33,"J",""))</f>
        <v/>
      </c>
      <c r="BC13" s="143" t="str">
        <f>IF(BC7=0.34,"J",IF(BC7&gt;0.34,"J",""))</f>
        <v/>
      </c>
      <c r="BD13" s="143" t="str">
        <f>IF(BC7=0.35,"J",IF(BC7&gt;0.35,"J",""))</f>
        <v/>
      </c>
      <c r="BE13" s="143" t="str">
        <f>IF(BC7=0.36,"J",IF(BC7&gt;0.36,"J",""))</f>
        <v/>
      </c>
      <c r="BF13" s="143" t="str">
        <f>IF(BC7=0.37,"J",IF(BC7&gt;0.37,"J",""))</f>
        <v/>
      </c>
      <c r="BG13" s="143" t="str">
        <f>IF(BC7=0.38,"J",IF(BC7&gt;0.38,"J",""))</f>
        <v/>
      </c>
      <c r="BH13" s="143" t="str">
        <f>IF(BC7=0.39,"J",IF(BC7&gt;0.39,"J",""))</f>
        <v/>
      </c>
      <c r="BI13" s="144" t="str">
        <f>IF(BC7=0.4,"J",IF(BC7&gt;0.4,"J",""))</f>
        <v/>
      </c>
      <c r="BJ13" s="135"/>
      <c r="BK13" s="142" t="str">
        <f>IF(BC7=1.31,"J",IF(BC7&gt;1.31,"J",""))</f>
        <v/>
      </c>
      <c r="BL13" s="143" t="str">
        <f>IF(BC7=1.32,"J",IF(BC7&gt;1.32,"J",""))</f>
        <v/>
      </c>
      <c r="BM13" s="143" t="str">
        <f>IF(BC7=1.33,"J",IF(BC7&gt;1.33,"J",""))</f>
        <v/>
      </c>
      <c r="BN13" s="143" t="str">
        <f>IF(BC7=1.34,"J",IF(BC7&gt;1.34,"J",""))</f>
        <v/>
      </c>
      <c r="BO13" s="143" t="str">
        <f>IF(BC7=1.35,"J",IF(BC7&gt;1.35,"J",""))</f>
        <v/>
      </c>
      <c r="BP13" s="143" t="str">
        <f>IF(BC7=1.36,"J",IF(BC7&gt;1.36,"J",""))</f>
        <v/>
      </c>
      <c r="BQ13" s="143" t="str">
        <f>IF(BC7=1.37,"J",IF(BC7&gt;1.37,"J",""))</f>
        <v/>
      </c>
      <c r="BR13" s="143" t="str">
        <f>IF(BC7=1.38,"J",IF(BC7&gt;1.38,"J",""))</f>
        <v/>
      </c>
      <c r="BS13" s="143" t="str">
        <f>IF(BC7=1.39,"J",IF(BC7&gt;1.39,"J",""))</f>
        <v/>
      </c>
      <c r="BT13" s="144" t="str">
        <f>IF(BC7=1.4,"J",IF(BC7&gt;1.4,"J",""))</f>
        <v/>
      </c>
      <c r="BU13" s="182"/>
      <c r="BV13" s="2"/>
      <c r="BW13" s="2"/>
    </row>
    <row r="14" spans="4:75" ht="11.25" customHeight="1" thickBot="1">
      <c r="D14" s="284"/>
      <c r="E14" s="185" t="str">
        <f>IF(H7=0.41,"J",IF(H7&gt;0.41,"J",""))</f>
        <v>J</v>
      </c>
      <c r="F14" s="143" t="str">
        <f>IF(H7=0.42,"J",IF(H7&gt;0.42,"J",""))</f>
        <v>J</v>
      </c>
      <c r="G14" s="143" t="str">
        <f>IF(H7=0.43,"J",IF(H7&gt;0.43,"J",""))</f>
        <v>J</v>
      </c>
      <c r="H14" s="143" t="str">
        <f>IF(H7=0.44,"J",IF(H7&gt;0.44,"J",""))</f>
        <v>J</v>
      </c>
      <c r="I14" s="143" t="str">
        <f>IF(H7=0.45,"J",IF(H7&gt;0.45,"J",""))</f>
        <v>J</v>
      </c>
      <c r="J14" s="143" t="str">
        <f>IF(H7=0.46,"J",IF(H7&gt;0.46,"J",""))</f>
        <v>J</v>
      </c>
      <c r="K14" s="143" t="str">
        <f>IF(H7=0.47,"J",IF(H7&gt;0.47,"J",""))</f>
        <v>J</v>
      </c>
      <c r="L14" s="143" t="str">
        <f>IF(H7=0.48,"J",IF(H7&gt;0.48,"J",""))</f>
        <v>J</v>
      </c>
      <c r="M14" s="143" t="str">
        <f>IF(H7=0.49,"J",IF(H7&gt;0.49,"J",""))</f>
        <v>J</v>
      </c>
      <c r="N14" s="144" t="str">
        <f>IF(H7=0.5,"J",IF(H7&gt;0.5,"J",""))</f>
        <v>J</v>
      </c>
      <c r="O14" s="135"/>
      <c r="P14" s="142" t="str">
        <f>IF(H7=1.41,"J",IF(H7&gt;1.41,"J",""))</f>
        <v/>
      </c>
      <c r="Q14" s="143" t="str">
        <f>IF(H7=1.42,"J",IF(H7&gt;1.42,"J",""))</f>
        <v/>
      </c>
      <c r="R14" s="143" t="str">
        <f>IF(H7=1.43,"J",IF(H7&gt;1.43,"J",""))</f>
        <v/>
      </c>
      <c r="S14" s="143" t="str">
        <f>IF(H7=1.44,"J",IF(H7&gt;1.44,"J",""))</f>
        <v/>
      </c>
      <c r="T14" s="143" t="str">
        <f>IF(H7=1.45,"J",IF(H7&gt;1.45,"J",""))</f>
        <v/>
      </c>
      <c r="U14" s="143" t="str">
        <f>IF(H7=1.46,"J",IF(H7&gt;1.46,"J",""))</f>
        <v/>
      </c>
      <c r="V14" s="143" t="str">
        <f>IF(H7=1.47,"J",IF(H7&gt;1.47,"J",""))</f>
        <v/>
      </c>
      <c r="W14" s="143" t="str">
        <f>IF(H7=1.48,"J",IF(H7&gt;1.48,"J",""))</f>
        <v/>
      </c>
      <c r="X14" s="143" t="str">
        <f>IF(H7=1.49,"J",IF(H7&gt;1.49,"J",""))</f>
        <v/>
      </c>
      <c r="Y14" s="144" t="str">
        <f>IF(H7=1.5,"J",IF(H7&gt;1.5,"J",""))</f>
        <v/>
      </c>
      <c r="Z14" s="182"/>
      <c r="AA14" s="135"/>
      <c r="AB14" s="185" t="str">
        <f>IF(AE6=0.41,"J",IF(AE6&gt;0.41,"J",""))</f>
        <v/>
      </c>
      <c r="AC14" s="143" t="str">
        <f>IF(AE6=0.42,"J",IF(AE6&gt;0.42,"J",""))</f>
        <v/>
      </c>
      <c r="AD14" s="143" t="str">
        <f>IF(AE6=0.43,"J",IF(AE6&gt;0.43,"J",""))</f>
        <v/>
      </c>
      <c r="AE14" s="143" t="str">
        <f>IF(AE6=0.44,"J",IF(AE6&gt;0.44,"J",""))</f>
        <v/>
      </c>
      <c r="AF14" s="143" t="str">
        <f>IF(AE6=0.45,"J",IF(AE6&gt;0.45,"J",""))</f>
        <v/>
      </c>
      <c r="AG14" s="143" t="str">
        <f>IF(AE6=0.46,"J",IF(AE6&gt;0.46,"J",""))</f>
        <v/>
      </c>
      <c r="AH14" s="143" t="str">
        <f>IF(AE6=0.47,"J",IF(AE6&gt;0.47,"J",""))</f>
        <v/>
      </c>
      <c r="AI14" s="143" t="str">
        <f>IF(AE6=0.48,"J",IF(AE6&gt;0.48,"J",""))</f>
        <v/>
      </c>
      <c r="AJ14" s="143" t="str">
        <f>IF(AE6=0.49,"J",IF(AE6&gt;0.49,"J",""))</f>
        <v/>
      </c>
      <c r="AK14" s="144" t="str">
        <f>IF(AE6=0.5,"J",IF(AE6&gt;0.5,"J",""))</f>
        <v/>
      </c>
      <c r="AL14" s="135"/>
      <c r="AM14" s="142" t="str">
        <f>IF(AE6=1.41,"J",IF(AE6&gt;1.41,"J",""))</f>
        <v/>
      </c>
      <c r="AN14" s="143" t="str">
        <f>IF(AE6=1.42,"J",IF(AE6&gt;1.42,"J",""))</f>
        <v/>
      </c>
      <c r="AO14" s="143" t="str">
        <f>IF(AE6=1.43,"J",IF(AE6&gt;1.43,"J",""))</f>
        <v/>
      </c>
      <c r="AP14" s="143" t="str">
        <f>IF(AE6=1.44,"J",IF(AE6&gt;1.44,"J",""))</f>
        <v/>
      </c>
      <c r="AQ14" s="143" t="str">
        <f>IF(AE6=1.45,"J",IF(AE6&gt;1.45,"J",""))</f>
        <v/>
      </c>
      <c r="AR14" s="143" t="str">
        <f>IF(AE6=1.46,"J",IF(AE6&gt;1.46,"J",""))</f>
        <v/>
      </c>
      <c r="AS14" s="143" t="str">
        <f>IF(AE6=1.47,"J",IF(AE6&gt;1.47,"J",""))</f>
        <v/>
      </c>
      <c r="AT14" s="143" t="str">
        <f>IF(AE6=1.48,"J",IF(AE6&gt;1.48,"J",""))</f>
        <v/>
      </c>
      <c r="AU14" s="143" t="str">
        <f>IF(AE6=1.49,"J",IF(AE6&gt;1.49,"J",""))</f>
        <v/>
      </c>
      <c r="AV14" s="144" t="str">
        <f>IF(AE6=1.5,"J",IF(AE6&gt;1.5,"J",""))</f>
        <v/>
      </c>
      <c r="AW14" s="196"/>
      <c r="AX14" s="168"/>
      <c r="AY14" s="187"/>
      <c r="AZ14" s="142" t="str">
        <f>IF(BC7=0.41,"J",IF(BC7&gt;0.41,"J",""))</f>
        <v/>
      </c>
      <c r="BA14" s="143" t="str">
        <f>IF(BC7=0.42,"J",IF(BC7&gt;0.42,"J",""))</f>
        <v/>
      </c>
      <c r="BB14" s="143" t="str">
        <f>IF(BC7=0.43,"J",IF(BC7&gt;0.43,"J",""))</f>
        <v/>
      </c>
      <c r="BC14" s="143" t="str">
        <f>IF(BC7=0.44,"J",IF(BC7&gt;0.44,"J",""))</f>
        <v/>
      </c>
      <c r="BD14" s="143" t="str">
        <f>IF(BC7=0.45,"J",IF(BC7&gt;0.45,"J",""))</f>
        <v/>
      </c>
      <c r="BE14" s="143" t="str">
        <f>IF(BC7=0.46,"J",IF(BC7&gt;0.46,"J",""))</f>
        <v/>
      </c>
      <c r="BF14" s="143" t="str">
        <f>IF(BC7=0.47,"J",IF(BC7&gt;0.47,"J",""))</f>
        <v/>
      </c>
      <c r="BG14" s="143" t="str">
        <f>IF(BC7=0.48,"J",IF(BC7&gt;0.48,"J",""))</f>
        <v/>
      </c>
      <c r="BH14" s="143" t="str">
        <f>IF(BC7=0.49,"J",IF(BC7&gt;0.49,"J",""))</f>
        <v/>
      </c>
      <c r="BI14" s="144" t="str">
        <f>IF(BC7=0.5,"J",IF(BC7&gt;0.5,"J",""))</f>
        <v/>
      </c>
      <c r="BJ14" s="135"/>
      <c r="BK14" s="142" t="str">
        <f>IF(BC7=1.41,"J",IF(BC7&gt;1.41,"J",""))</f>
        <v/>
      </c>
      <c r="BL14" s="143" t="str">
        <f>IF(BC7=1.42,"J",IF(BC7&gt;1.42,"J",""))</f>
        <v/>
      </c>
      <c r="BM14" s="143" t="str">
        <f>IF(BC7=1.43,"J",IF(BC7&gt;1.43,"J",""))</f>
        <v/>
      </c>
      <c r="BN14" s="143" t="str">
        <f>IF(BC7=1.44,"J",IF(BC7&gt;1.44,"J",""))</f>
        <v/>
      </c>
      <c r="BO14" s="143" t="str">
        <f>IF(BC7=1.45,"J",IF(BC7&gt;1.45,"J",""))</f>
        <v/>
      </c>
      <c r="BP14" s="143" t="str">
        <f>IF(BC7=1.46,"J",IF(BC7&gt;1.46,"J",""))</f>
        <v/>
      </c>
      <c r="BQ14" s="143" t="str">
        <f>IF(BC7=1.47,"J",IF(BC7&gt;1.47,"J",""))</f>
        <v/>
      </c>
      <c r="BR14" s="143" t="str">
        <f>IF(BC7=1.48,"J",IF(BC7&gt;1.48,"J",""))</f>
        <v/>
      </c>
      <c r="BS14" s="143" t="str">
        <f>IF(BC7=1.49,"J",IF(BC7&gt;1.49,"J",""))</f>
        <v/>
      </c>
      <c r="BT14" s="144" t="str">
        <f>IF(BC7=1.5,"J",IF(BC7&gt;1.5,"J",""))</f>
        <v/>
      </c>
      <c r="BU14" s="182"/>
      <c r="BV14" s="2"/>
      <c r="BW14" s="2"/>
    </row>
    <row r="15" spans="4:75" ht="11.25" customHeight="1" thickBot="1">
      <c r="D15" s="284"/>
      <c r="E15" s="185" t="str">
        <f>IF(H7=0.51,"J",IF(H7&gt;0.51,"J",""))</f>
        <v/>
      </c>
      <c r="F15" s="143" t="str">
        <f>IF(H7=0.52,"J",IF(H7&gt;0.52,"J",""))</f>
        <v/>
      </c>
      <c r="G15" s="143" t="str">
        <f>IF(H7=0.53,"J",IF(H7&gt;0.53,"J",""))</f>
        <v/>
      </c>
      <c r="H15" s="143" t="str">
        <f>IF(H7=0.54,"J",IF(H7&gt;0.54,"J",""))</f>
        <v/>
      </c>
      <c r="I15" s="143" t="str">
        <f>IF(H7=0.55,"J",IF(H7&gt;0.55,"J",""))</f>
        <v/>
      </c>
      <c r="J15" s="143" t="str">
        <f>IF(H7=0.56,"J",IF(H7&gt;0.56,"J",""))</f>
        <v/>
      </c>
      <c r="K15" s="143" t="str">
        <f>IF(H7=0.57,"J",IF(H7&gt;0.57,"J",""))</f>
        <v/>
      </c>
      <c r="L15" s="143" t="str">
        <f>IF(H7=0.58,"J",IF(H7&gt;0.58,"J",""))</f>
        <v/>
      </c>
      <c r="M15" s="143" t="str">
        <f>IF(H7=0.59,"J",IF(H7&gt;0.59,"J",""))</f>
        <v/>
      </c>
      <c r="N15" s="144" t="str">
        <f>IF(H7=0.6,"J",IF(H7&gt;0.6,"J",""))</f>
        <v/>
      </c>
      <c r="O15" s="135"/>
      <c r="P15" s="142" t="str">
        <f>IF(H7=1.51,"J",IF(H7&gt;1.51,"J",""))</f>
        <v/>
      </c>
      <c r="Q15" s="143" t="str">
        <f>IF(H7=1.52,"J",IF(H7&gt;1.52,"J",""))</f>
        <v/>
      </c>
      <c r="R15" s="143" t="str">
        <f>IF(H7=1.53,"J",IF(H7&gt;1.53,"J",""))</f>
        <v/>
      </c>
      <c r="S15" s="143" t="str">
        <f>IF(H7=1.54,"J",IF(H7&gt;1.54,"J",""))</f>
        <v/>
      </c>
      <c r="T15" s="143" t="str">
        <f>IF(H7=1.55,"J",IF(H7&gt;1.55,"J",""))</f>
        <v/>
      </c>
      <c r="U15" s="143" t="str">
        <f>IF(H7=1.56,"J",IF(H7&gt;1.56,"J",""))</f>
        <v/>
      </c>
      <c r="V15" s="143" t="str">
        <f>IF(H7=1.57,"J",IF(H7&gt;1.57,"J",""))</f>
        <v/>
      </c>
      <c r="W15" s="143" t="str">
        <f>IF(H7=1.58,"J",IF(H7&gt;1.58,"J",""))</f>
        <v/>
      </c>
      <c r="X15" s="143" t="str">
        <f>IF(H7=1.59,"J",IF(H7&gt;1.59,"J",""))</f>
        <v/>
      </c>
      <c r="Y15" s="144" t="str">
        <f>IF(H7=1.6,"J",IF(H7&gt;1.6,"J",""))</f>
        <v/>
      </c>
      <c r="Z15" s="182"/>
      <c r="AA15" s="135"/>
      <c r="AB15" s="185" t="str">
        <f>IF(AE6=0.51,"J",IF(AE6&gt;0.51,"J",""))</f>
        <v/>
      </c>
      <c r="AC15" s="143" t="str">
        <f>IF(AE6=0.52,"J",IF(AE6&gt;0.52,"J",""))</f>
        <v/>
      </c>
      <c r="AD15" s="143" t="str">
        <f>IF(AE6=0.53,"J",IF(AE6&gt;0.53,"J",""))</f>
        <v/>
      </c>
      <c r="AE15" s="143" t="str">
        <f>IF(AE6=0.54,"J",IF(AE6&gt;0.54,"J",""))</f>
        <v/>
      </c>
      <c r="AF15" s="143" t="str">
        <f>IF(AE6=0.55,"J",IF(AE6&gt;0.55,"J",""))</f>
        <v/>
      </c>
      <c r="AG15" s="143" t="str">
        <f>IF(AE6=0.56,"J",IF(AE6&gt;0.56,"J",""))</f>
        <v/>
      </c>
      <c r="AH15" s="143" t="str">
        <f>IF(AE6=0.57,"J",IF(AE6&gt;0.57,"J",""))</f>
        <v/>
      </c>
      <c r="AI15" s="143" t="str">
        <f>IF(AE6=0.58,"J",IF(AE6&gt;0.58,"J",""))</f>
        <v/>
      </c>
      <c r="AJ15" s="143" t="str">
        <f>IF(AE6=0.59,"J",IF(AE6&gt;0.59,"J",""))</f>
        <v/>
      </c>
      <c r="AK15" s="144" t="str">
        <f>IF(AE6=0.6,"J",IF(AE6&gt;0.6,"J",""))</f>
        <v/>
      </c>
      <c r="AL15" s="135"/>
      <c r="AM15" s="142" t="str">
        <f>IF(AE6=1.51,"J",IF(AE6&gt;1.51,"J",""))</f>
        <v/>
      </c>
      <c r="AN15" s="143" t="str">
        <f>IF(AE6=1.52,"J",IF(AE6&gt;1.52,"J",""))</f>
        <v/>
      </c>
      <c r="AO15" s="143" t="str">
        <f>IF(AE6=1.53,"J",IF(AE6&gt;1.53,"J",""))</f>
        <v/>
      </c>
      <c r="AP15" s="143" t="str">
        <f>IF(AE6=1.54,"J",IF(AE6&gt;1.54,"J",""))</f>
        <v/>
      </c>
      <c r="AQ15" s="143" t="str">
        <f>IF(AE6=1.55,"J",IF(AE6&gt;1.55,"J",""))</f>
        <v/>
      </c>
      <c r="AR15" s="143" t="str">
        <f>IF(AE6=1.56,"J",IF(AE6&gt;1.56,"J",""))</f>
        <v/>
      </c>
      <c r="AS15" s="143" t="str">
        <f>IF(AE6=1.57,"J",IF(AE6&gt;1.57,"J",""))</f>
        <v/>
      </c>
      <c r="AT15" s="143" t="str">
        <f>IF(AE6=1.58,"J",IF(AE6&gt;1.58,"J",""))</f>
        <v/>
      </c>
      <c r="AU15" s="143" t="str">
        <f>IF(AE6=1.59,"J",IF(AE6&gt;1.59,"J",""))</f>
        <v/>
      </c>
      <c r="AV15" s="144" t="str">
        <f>IF(AE6=1.6,"J",IF(AE6&gt;1.6,"J",""))</f>
        <v/>
      </c>
      <c r="AW15" s="196"/>
      <c r="AX15" s="168"/>
      <c r="AY15" s="187"/>
      <c r="AZ15" s="142" t="str">
        <f>IF(BC7=0.51,"J",IF(BC7&gt;0.51,"J",""))</f>
        <v/>
      </c>
      <c r="BA15" s="143" t="str">
        <f>IF(BC7=0.52,"J",IF(BC7&gt;0.52,"J",""))</f>
        <v/>
      </c>
      <c r="BB15" s="143" t="str">
        <f>IF(BC7=0.53,"J",IF(BC7&gt;0.53,"J",""))</f>
        <v/>
      </c>
      <c r="BC15" s="143" t="str">
        <f>IF(BC7=0.54,"J",IF(BC7&gt;0.54,"J",""))</f>
        <v/>
      </c>
      <c r="BD15" s="143" t="str">
        <f>IF(BC7=0.55,"J",IF(BC7&gt;0.55,"J",""))</f>
        <v/>
      </c>
      <c r="BE15" s="143" t="str">
        <f>IF(BC7=0.56,"J",IF(BC7&gt;0.56,"J",""))</f>
        <v/>
      </c>
      <c r="BF15" s="143" t="str">
        <f>IF(BC7=0.57,"J",IF(BC7&gt;0.57,"J",""))</f>
        <v/>
      </c>
      <c r="BG15" s="143" t="str">
        <f>IF(BC7=0.58,"J",IF(BC7&gt;0.58,"J",""))</f>
        <v/>
      </c>
      <c r="BH15" s="143" t="str">
        <f>IF(BC7=0.59,"J",IF(BC7&gt;0.59,"J",""))</f>
        <v/>
      </c>
      <c r="BI15" s="144" t="str">
        <f>IF(BC7=0.6,"J",IF(BC7&gt;0.6,"J",""))</f>
        <v/>
      </c>
      <c r="BJ15" s="135"/>
      <c r="BK15" s="142" t="str">
        <f>IF(BC7=1.51,"J",IF(BC7&gt;1.51,"J",""))</f>
        <v/>
      </c>
      <c r="BL15" s="143" t="str">
        <f>IF(BC7=1.52,"J",IF(BC7&gt;1.52,"J",""))</f>
        <v/>
      </c>
      <c r="BM15" s="143" t="str">
        <f>IF(BC7=1.53,"J",IF(BC7&gt;1.53,"J",""))</f>
        <v/>
      </c>
      <c r="BN15" s="143" t="str">
        <f>IF(BC7=1.54,"J",IF(BC7&gt;1.54,"J",""))</f>
        <v/>
      </c>
      <c r="BO15" s="143" t="str">
        <f>IF(BC7=1.55,"J",IF(BC7&gt;1.55,"J",""))</f>
        <v/>
      </c>
      <c r="BP15" s="143" t="str">
        <f>IF(BC7=1.56,"J",IF(BC7&gt;1.56,"J",""))</f>
        <v/>
      </c>
      <c r="BQ15" s="143" t="str">
        <f>IF(BC7=1.57,"J",IF(BC7&gt;1.57,"J",""))</f>
        <v/>
      </c>
      <c r="BR15" s="143" t="str">
        <f>IF(BC7=1.58,"J",IF(BC7&gt;1.58,"J",""))</f>
        <v/>
      </c>
      <c r="BS15" s="143" t="str">
        <f>IF(BC7=1.59,"J",IF(BC7&gt;1.59,"J",""))</f>
        <v/>
      </c>
      <c r="BT15" s="144" t="str">
        <f>IF(BC7=1.6,"J",IF(BC7&gt;1.6,"J",""))</f>
        <v/>
      </c>
      <c r="BU15" s="182"/>
      <c r="BV15" s="2"/>
      <c r="BW15" s="2"/>
    </row>
    <row r="16" spans="4:75" ht="11.25" customHeight="1" thickBot="1">
      <c r="D16" s="284"/>
      <c r="E16" s="185" t="str">
        <f>IF(H7=0.61,"J",IF(H7&gt;0.61,"J",""))</f>
        <v/>
      </c>
      <c r="F16" s="143" t="str">
        <f>IF(H7=0.62,"J",IF(H7&gt;0.62,"J",""))</f>
        <v/>
      </c>
      <c r="G16" s="143" t="str">
        <f>IF(H7=0.63,"J",IF(H7&gt;0.63,"J",""))</f>
        <v/>
      </c>
      <c r="H16" s="143" t="str">
        <f>IF(H7=0.64,"J",IF(H7&gt;0.64,"J",""))</f>
        <v/>
      </c>
      <c r="I16" s="143" t="str">
        <f>IF(H7=0.65,"J",IF(H7&gt;0.65,"J",""))</f>
        <v/>
      </c>
      <c r="J16" s="143" t="str">
        <f>IF(H7=0.66,"J",IF(H7&gt;0.66,"J",""))</f>
        <v/>
      </c>
      <c r="K16" s="143" t="str">
        <f>IF(H7=0.67,"J",IF(H7&gt;0.67,"J",""))</f>
        <v/>
      </c>
      <c r="L16" s="143" t="str">
        <f>IF(H7=0.68,"J",IF(H7&gt;0.68,"J",""))</f>
        <v/>
      </c>
      <c r="M16" s="143" t="str">
        <f>IF(H7=0.69,"J",IF(H7&gt;0.69,"J",""))</f>
        <v/>
      </c>
      <c r="N16" s="144" t="str">
        <f>IF(H7=0.7,"J",IF(H7&gt;0.7,"J",""))</f>
        <v/>
      </c>
      <c r="O16" s="135"/>
      <c r="P16" s="142" t="str">
        <f>IF(H7=1.61,"J",IF(H7&gt;1.61,"J",""))</f>
        <v/>
      </c>
      <c r="Q16" s="143" t="str">
        <f>IF(H7=1.62,"J",IF(H7&gt;1.62,"J",""))</f>
        <v/>
      </c>
      <c r="R16" s="143" t="str">
        <f>IF(H7=1.63,"J",IF(H7&gt;1.63,"J",""))</f>
        <v/>
      </c>
      <c r="S16" s="143" t="str">
        <f>IF(H7=1.64,"J",IF(H7&gt;1.64,"J",""))</f>
        <v/>
      </c>
      <c r="T16" s="143" t="str">
        <f>IF(H7=1.65,"J",IF(H7&gt;1.65,"J",""))</f>
        <v/>
      </c>
      <c r="U16" s="143" t="str">
        <f>IF(H7=1.66,"J",IF(H7&gt;1.66,"J",""))</f>
        <v/>
      </c>
      <c r="V16" s="143" t="str">
        <f>IF(H7=1.67,"J",IF(H7&gt;1.67,"J",""))</f>
        <v/>
      </c>
      <c r="W16" s="143" t="str">
        <f>IF(H7=1.68,"J",IF(H7&gt;1.68,"J",""))</f>
        <v/>
      </c>
      <c r="X16" s="143" t="str">
        <f>IF(H7=1.69,"J",IF(H7&gt;1.69,"J",""))</f>
        <v/>
      </c>
      <c r="Y16" s="144" t="str">
        <f>IF(H7=1.7,"J",IF(H7&gt;1.7,"J",""))</f>
        <v/>
      </c>
      <c r="Z16" s="182"/>
      <c r="AA16" s="135"/>
      <c r="AB16" s="185" t="str">
        <f>IF(AE6=0.61,"J",IF(AE6&gt;0.61,"J",""))</f>
        <v/>
      </c>
      <c r="AC16" s="143" t="str">
        <f>IF(AE6=0.62,"J",IF(AE6&gt;0.62,"J",""))</f>
        <v/>
      </c>
      <c r="AD16" s="143" t="str">
        <f>IF(AE6=0.63,"J",IF(AE6&gt;0.63,"J",""))</f>
        <v/>
      </c>
      <c r="AE16" s="143" t="str">
        <f>IF(AE6=0.64,"J",IF(AE6&gt;0.64,"J",""))</f>
        <v/>
      </c>
      <c r="AF16" s="143" t="str">
        <f>IF(AE6=0.65,"J",IF(AE6&gt;0.65,"J",""))</f>
        <v/>
      </c>
      <c r="AG16" s="143" t="str">
        <f>IF(AE6=0.66,"J",IF(AE6&gt;0.66,"J",""))</f>
        <v/>
      </c>
      <c r="AH16" s="143" t="str">
        <f>IF(AE6=0.67,"J",IF(AE6&gt;0.67,"J",""))</f>
        <v/>
      </c>
      <c r="AI16" s="143" t="str">
        <f>IF(AE6=0.68,"J",IF(AE6&gt;0.68,"J",""))</f>
        <v/>
      </c>
      <c r="AJ16" s="143" t="str">
        <f>IF(AE6=0.69,"J",IF(AE6&gt;0.69,"J",""))</f>
        <v/>
      </c>
      <c r="AK16" s="144" t="str">
        <f>IF(AE6=0.7,"J",IF(AE6&gt;0.7,"J",""))</f>
        <v/>
      </c>
      <c r="AL16" s="135"/>
      <c r="AM16" s="142" t="str">
        <f>IF(AE6=1.61,"J",IF(AE6&gt;1.61,"J",""))</f>
        <v/>
      </c>
      <c r="AN16" s="143" t="str">
        <f>IF(AE6=1.62,"J",IF(AE6&gt;1.62,"J",""))</f>
        <v/>
      </c>
      <c r="AO16" s="143" t="str">
        <f>IF(AE6=1.63,"J",IF(AE6&gt;1.63,"J",""))</f>
        <v/>
      </c>
      <c r="AP16" s="143" t="str">
        <f>IF(AE6=1.64,"J",IF(AE6&gt;1.64,"J",""))</f>
        <v/>
      </c>
      <c r="AQ16" s="143" t="str">
        <f>IF(AE6=1.65,"J",IF(AE6&gt;1.65,"J",""))</f>
        <v/>
      </c>
      <c r="AR16" s="143" t="str">
        <f>IF(AE6=1.66,"J",IF(AE6&gt;1.66,"J",""))</f>
        <v/>
      </c>
      <c r="AS16" s="143" t="str">
        <f>IF(AE6=1.67,"J",IF(AE6&gt;1.67,"J",""))</f>
        <v/>
      </c>
      <c r="AT16" s="143" t="str">
        <f>IF(AE6=1.68,"J",IF(AE6&gt;1.68,"J",""))</f>
        <v/>
      </c>
      <c r="AU16" s="143" t="str">
        <f>IF(AE6=1.69,"J",IF(AE6&gt;1.69,"J",""))</f>
        <v/>
      </c>
      <c r="AV16" s="144" t="str">
        <f>IF(AE6=1.7,"J",IF(AE6&gt;1.7,"J",""))</f>
        <v/>
      </c>
      <c r="AW16" s="196"/>
      <c r="AX16" s="168"/>
      <c r="AY16" s="187"/>
      <c r="AZ16" s="142" t="str">
        <f>IF(BC7=0.61,"J",IF(BC7&gt;0.61,"J",""))</f>
        <v/>
      </c>
      <c r="BA16" s="143" t="str">
        <f>IF(BC7=0.62,"J",IF(BC7&gt;0.62,"J",""))</f>
        <v/>
      </c>
      <c r="BB16" s="143" t="str">
        <f>IF(BC7=0.63,"J",IF(BC7&gt;0.63,"J",""))</f>
        <v/>
      </c>
      <c r="BC16" s="143" t="str">
        <f>IF(BC7=0.64,"J",IF(BC7&gt;0.64,"J",""))</f>
        <v/>
      </c>
      <c r="BD16" s="143" t="str">
        <f>IF(BC7=0.65,"J",IF(BC7&gt;0.65,"J",""))</f>
        <v/>
      </c>
      <c r="BE16" s="143" t="str">
        <f>IF(BC7=0.66,"J",IF(BC7&gt;0.66,"J",""))</f>
        <v/>
      </c>
      <c r="BF16" s="143" t="str">
        <f>IF(BC7=0.67,"J",IF(BC7&gt;0.67,"J",""))</f>
        <v/>
      </c>
      <c r="BG16" s="143" t="str">
        <f>IF(BC7=0.68,"J",IF(BC7&gt;0.68,"J",""))</f>
        <v/>
      </c>
      <c r="BH16" s="143" t="str">
        <f>IF(BC7=0.69,"J",IF(BC7&gt;0.69,"J",""))</f>
        <v/>
      </c>
      <c r="BI16" s="144" t="str">
        <f>IF(BC7=0.7,"J",IF(BC7&gt;0.7,"J",""))</f>
        <v/>
      </c>
      <c r="BJ16" s="135"/>
      <c r="BK16" s="142" t="str">
        <f>IF(BC7=1.61,"J",IF(BC7&gt;1.61,"J",""))</f>
        <v/>
      </c>
      <c r="BL16" s="143" t="str">
        <f>IF(BC7=1.62,"J",IF(BC7&gt;1.62,"J",""))</f>
        <v/>
      </c>
      <c r="BM16" s="143" t="str">
        <f>IF(BC7=1.63,"J",IF(BC7&gt;1.63,"J",""))</f>
        <v/>
      </c>
      <c r="BN16" s="143" t="str">
        <f>IF(BC7=1.64,"J",IF(BC7&gt;1.64,"J",""))</f>
        <v/>
      </c>
      <c r="BO16" s="143" t="str">
        <f>IF(BC7=1.65,"J",IF(BC7&gt;1.65,"J",""))</f>
        <v/>
      </c>
      <c r="BP16" s="143" t="str">
        <f>IF(BC7=1.66,"J",IF(BC7&gt;1.66,"J",""))</f>
        <v/>
      </c>
      <c r="BQ16" s="143" t="str">
        <f>IF(BC7=1.67,"J",IF(BC7&gt;1.67,"J",""))</f>
        <v/>
      </c>
      <c r="BR16" s="143" t="str">
        <f>IF(BC7=1.68,"J",IF(BC7&gt;1.68,"J",""))</f>
        <v/>
      </c>
      <c r="BS16" s="143" t="str">
        <f>IF(BC7=1.69,"J",IF(BC7&gt;1.69,"J",""))</f>
        <v/>
      </c>
      <c r="BT16" s="144" t="str">
        <f>IF(BC7=1.7,"J",IF(BC7&gt;1.7,"J",""))</f>
        <v/>
      </c>
      <c r="BU16" s="182"/>
      <c r="BV16" s="2"/>
      <c r="BW16" s="2"/>
    </row>
    <row r="17" spans="4:75" ht="11.25" customHeight="1" thickBot="1">
      <c r="D17" s="284"/>
      <c r="E17" s="185" t="str">
        <f>IF(H7=0.71,"J",IF(H7&gt;0.71,"J",""))</f>
        <v/>
      </c>
      <c r="F17" s="143" t="str">
        <f>IF(H7=0.72,"J",IF(H7&gt;0.72,"J",""))</f>
        <v/>
      </c>
      <c r="G17" s="143" t="str">
        <f>IF(H7=0.73,"J",IF(H7&gt;0.73,"J",""))</f>
        <v/>
      </c>
      <c r="H17" s="143" t="str">
        <f>IF(H7=0.74,"J",IF(H7&gt;0.74,"J",""))</f>
        <v/>
      </c>
      <c r="I17" s="143" t="str">
        <f>IF(H7=0.75,"J",IF(H7&gt;0.75,"J",""))</f>
        <v/>
      </c>
      <c r="J17" s="143" t="str">
        <f>IF(H7=0.76,"J",IF(H7&gt;0.76,"J",""))</f>
        <v/>
      </c>
      <c r="K17" s="143" t="str">
        <f>IF(H7=0.77,"J",IF(H7&gt;0.77,"J",""))</f>
        <v/>
      </c>
      <c r="L17" s="143" t="str">
        <f>IF(H7=0.78,"J",IF(H7&gt;0.78,"J",""))</f>
        <v/>
      </c>
      <c r="M17" s="143" t="str">
        <f>IF(H7=0.79,"J",IF(H7&gt;0.79,"J",""))</f>
        <v/>
      </c>
      <c r="N17" s="144" t="str">
        <f>IF(H7=0.8,"J",IF(H7&gt;0.8,"J",""))</f>
        <v/>
      </c>
      <c r="O17" s="135"/>
      <c r="P17" s="142" t="str">
        <f>IF(H7=1.71,"J",IF(H7&gt;1.71,"J",""))</f>
        <v/>
      </c>
      <c r="Q17" s="143" t="str">
        <f>IF(H7=1.72,"J",IF(H7&gt;1.72,"J",""))</f>
        <v/>
      </c>
      <c r="R17" s="143" t="str">
        <f>IF(H7=1.73,"J",IF(H7&gt;1.73,"J",""))</f>
        <v/>
      </c>
      <c r="S17" s="143" t="str">
        <f>IF(H7=1.74,"J",IF(H7&gt;1.74,"J",""))</f>
        <v/>
      </c>
      <c r="T17" s="143" t="str">
        <f>IF(H7=1.75,"J",IF(H7&gt;1.75,"J",""))</f>
        <v/>
      </c>
      <c r="U17" s="143" t="str">
        <f>IF(H7=1.76,"J",IF(H7&gt;1.76,"J",""))</f>
        <v/>
      </c>
      <c r="V17" s="143" t="str">
        <f>IF(H7=1.77,"J",IF(H7&gt;1.77,"J",""))</f>
        <v/>
      </c>
      <c r="W17" s="143" t="str">
        <f>IF(H7=1.78,"J",IF(H7&gt;1.78,"J",""))</f>
        <v/>
      </c>
      <c r="X17" s="143" t="str">
        <f>IF(H7=1.79,"J",IF(H7&gt;1.79,"J",""))</f>
        <v/>
      </c>
      <c r="Y17" s="144" t="str">
        <f>IF(H7=1.8,"J",IF(H7&gt;1.8,"J",""))</f>
        <v/>
      </c>
      <c r="Z17" s="182"/>
      <c r="AA17" s="135"/>
      <c r="AB17" s="185" t="str">
        <f>IF(AE6=0.71,"J",IF(AE6&gt;0.71,"J",""))</f>
        <v/>
      </c>
      <c r="AC17" s="143" t="str">
        <f>IF(AE6=0.72,"J",IF(AE6&gt;0.72,"J",""))</f>
        <v/>
      </c>
      <c r="AD17" s="143" t="str">
        <f>IF(AE6=0.73,"J",IF(AE6&gt;0.73,"J",""))</f>
        <v/>
      </c>
      <c r="AE17" s="143" t="str">
        <f>IF(AE6=0.74,"J",IF(AE6&gt;0.74,"J",""))</f>
        <v/>
      </c>
      <c r="AF17" s="143" t="str">
        <f>IF(AE6=0.75,"J",IF(AE6&gt;0.75,"J",""))</f>
        <v/>
      </c>
      <c r="AG17" s="143" t="str">
        <f>IF(AE6=0.76,"J",IF(AE6&gt;0.76,"J",""))</f>
        <v/>
      </c>
      <c r="AH17" s="143" t="str">
        <f>IF(AE6=0.77,"J",IF(AE6&gt;0.77,"J",""))</f>
        <v/>
      </c>
      <c r="AI17" s="143" t="str">
        <f>IF(AE6=0.78,"J",IF(AE6&gt;0.78,"J",""))</f>
        <v/>
      </c>
      <c r="AJ17" s="143" t="str">
        <f>IF(AE6=0.79,"J",IF(AE6&gt;0.79,"J",""))</f>
        <v/>
      </c>
      <c r="AK17" s="144" t="str">
        <f>IF(AE6=0.8,"J",IF(AE6&gt;0.8,"J",""))</f>
        <v/>
      </c>
      <c r="AL17" s="135"/>
      <c r="AM17" s="142" t="str">
        <f>IF(AE6=1.71,"J",IF(AE6&gt;1.71,"J",""))</f>
        <v/>
      </c>
      <c r="AN17" s="143" t="str">
        <f>IF(AE6=1.72,"J",IF(AE6&gt;1.72,"J",""))</f>
        <v/>
      </c>
      <c r="AO17" s="143" t="str">
        <f>IF(AE6=1.73,"J",IF(AE6&gt;1.73,"J",""))</f>
        <v/>
      </c>
      <c r="AP17" s="143" t="str">
        <f>IF(AE6=1.74,"J",IF(AE6&gt;1.74,"J",""))</f>
        <v/>
      </c>
      <c r="AQ17" s="143" t="str">
        <f>IF(AE6=1.75,"J",IF(AE6&gt;1.75,"J",""))</f>
        <v/>
      </c>
      <c r="AR17" s="143" t="str">
        <f>IF(AE6=1.76,"J",IF(AE6&gt;1.76,"J",""))</f>
        <v/>
      </c>
      <c r="AS17" s="143" t="str">
        <f>IF(AE6=1.77,"J",IF(AE6&gt;1.77,"J",""))</f>
        <v/>
      </c>
      <c r="AT17" s="143" t="str">
        <f>IF(AE6=1.78,"J",IF(AE6&gt;1.78,"J",""))</f>
        <v/>
      </c>
      <c r="AU17" s="143" t="str">
        <f>IF(AE6=1.79,"J",IF(AE6&gt;1.79,"J",""))</f>
        <v/>
      </c>
      <c r="AV17" s="144" t="str">
        <f>IF(AE6=1.8,"J",IF(AE6&gt;1.8,"J",""))</f>
        <v/>
      </c>
      <c r="AW17" s="196"/>
      <c r="AX17" s="168"/>
      <c r="AY17" s="187"/>
      <c r="AZ17" s="142" t="str">
        <f>IF(BC7=0.71,"J",IF(BC7&gt;0.71,"J",""))</f>
        <v/>
      </c>
      <c r="BA17" s="143" t="str">
        <f>IF(BC7=0.72,"J",IF(BC7&gt;0.72,"J",""))</f>
        <v/>
      </c>
      <c r="BB17" s="143" t="str">
        <f>IF(BC7=0.73,"J",IF(BC7&gt;0.73,"J",""))</f>
        <v/>
      </c>
      <c r="BC17" s="143" t="str">
        <f>IF(BC7=0.74,"J",IF(BC7&gt;0.74,"J",""))</f>
        <v/>
      </c>
      <c r="BD17" s="143" t="str">
        <f>IF(BC7=0.75,"J",IF(BC7&gt;0.75,"J",""))</f>
        <v/>
      </c>
      <c r="BE17" s="143" t="str">
        <f>IF(BC7=0.76,"J",IF(BC7&gt;0.76,"J",""))</f>
        <v/>
      </c>
      <c r="BF17" s="143" t="str">
        <f>IF(BC7=0.77,"J",IF(BC7&gt;0.77,"J",""))</f>
        <v/>
      </c>
      <c r="BG17" s="143" t="str">
        <f>IF(BC7=0.78,"J",IF(BC7&gt;0.78,"J",""))</f>
        <v/>
      </c>
      <c r="BH17" s="143" t="str">
        <f>IF(BC7=0.79,"J",IF(BC7&gt;0.79,"J",""))</f>
        <v/>
      </c>
      <c r="BI17" s="144" t="str">
        <f>IF(BC7=0.8,"J",IF(BC7&gt;0.8,"J",""))</f>
        <v/>
      </c>
      <c r="BJ17" s="135"/>
      <c r="BK17" s="142" t="str">
        <f>IF(BC7=1.71,"J",IF(BC7&gt;1.71,"J",""))</f>
        <v/>
      </c>
      <c r="BL17" s="143" t="str">
        <f>IF(BC7=1.72,"J",IF(BC7&gt;1.72,"J",""))</f>
        <v/>
      </c>
      <c r="BM17" s="143" t="str">
        <f>IF(BC7=1.73,"J",IF(BC7&gt;1.73,"J",""))</f>
        <v/>
      </c>
      <c r="BN17" s="143" t="str">
        <f>IF(BC7=1.74,"J",IF(BC7&gt;1.74,"J",""))</f>
        <v/>
      </c>
      <c r="BO17" s="143" t="str">
        <f>IF(BC7=1.75,"J",IF(BC7&gt;1.75,"J",""))</f>
        <v/>
      </c>
      <c r="BP17" s="143" t="str">
        <f>IF(BC7=1.76,"J",IF(BC7&gt;1.76,"J",""))</f>
        <v/>
      </c>
      <c r="BQ17" s="143" t="str">
        <f>IF(BC7=1.77,"J",IF(BC7&gt;1.77,"J",""))</f>
        <v/>
      </c>
      <c r="BR17" s="143" t="str">
        <f>IF(BC7=1.78,"J",IF(BC7&gt;1.78,"J",""))</f>
        <v/>
      </c>
      <c r="BS17" s="143" t="str">
        <f>IF(BC7=1.79,"J",IF(BC7&gt;1.79,"J",""))</f>
        <v/>
      </c>
      <c r="BT17" s="144" t="str">
        <f>IF(BC7=1.8,"J",IF(BC7&gt;1.8,"J",""))</f>
        <v/>
      </c>
      <c r="BU17" s="182"/>
      <c r="BV17" s="2"/>
      <c r="BW17" s="2"/>
    </row>
    <row r="18" spans="4:75" ht="11.25" customHeight="1" thickBot="1">
      <c r="D18" s="284"/>
      <c r="E18" s="185" t="str">
        <f>IF(H7=0.81,"J",IF(H7&gt;0.81,"J",""))</f>
        <v/>
      </c>
      <c r="F18" s="143" t="str">
        <f>IF(H7=0.82,"J",IF(H7&gt;0.82,"J",""))</f>
        <v/>
      </c>
      <c r="G18" s="143" t="str">
        <f>IF(H7=0.83,"J",IF(H7&gt;0.83,"J",""))</f>
        <v/>
      </c>
      <c r="H18" s="143" t="str">
        <f>IF(H7=0.84,"J",IF(H7&gt;0.84,"J",""))</f>
        <v/>
      </c>
      <c r="I18" s="143" t="str">
        <f>IF(H7=0.85,"J",IF(H7&gt;0.85,"J",""))</f>
        <v/>
      </c>
      <c r="J18" s="143" t="str">
        <f>IF(H7=0.86,"J",IF(H7&gt;0.86,"J",""))</f>
        <v/>
      </c>
      <c r="K18" s="143" t="str">
        <f>IF(H7=0.87,"J",IF(H7&gt;0.87,"J",""))</f>
        <v/>
      </c>
      <c r="L18" s="143" t="str">
        <f>IF(H7=0.88,"J",IF(H7&gt;0.88,"J",""))</f>
        <v/>
      </c>
      <c r="M18" s="143" t="str">
        <f>IF(H7=0.89,"J",IF(H7&gt;0.89,"J",""))</f>
        <v/>
      </c>
      <c r="N18" s="144" t="str">
        <f>IF(H7=0.9,"J",IF(H7&gt;0.9,"J",""))</f>
        <v/>
      </c>
      <c r="O18" s="163"/>
      <c r="P18" s="142" t="str">
        <f>IF(H7=1.81,"J",IF(H7&gt;1.81,"J",""))</f>
        <v/>
      </c>
      <c r="Q18" s="143" t="str">
        <f>IF(H7=1.82,"J",IF(H7&gt;1.82,"J",""))</f>
        <v/>
      </c>
      <c r="R18" s="143" t="str">
        <f>IF(H7=1.83,"J",IF(H7&gt;1.83,"J",""))</f>
        <v/>
      </c>
      <c r="S18" s="143" t="str">
        <f>IF(H7=1.84,"J",IF(H7&gt;1.84,"J",""))</f>
        <v/>
      </c>
      <c r="T18" s="143" t="str">
        <f>IF(H7=1.85,"J",IF(H7&gt;1.85,"J",""))</f>
        <v/>
      </c>
      <c r="U18" s="143" t="str">
        <f>IF(H7=1.86,"J",IF(H7&gt;1.86,"J",""))</f>
        <v/>
      </c>
      <c r="V18" s="143" t="str">
        <f>IF(H7=1.87,"J",IF(H7&gt;1.87,"J",""))</f>
        <v/>
      </c>
      <c r="W18" s="143" t="str">
        <f>IF(H7=1.88,"J",IF(H7&gt;1.88,"J",""))</f>
        <v/>
      </c>
      <c r="X18" s="143" t="str">
        <f>IF(H7=1.89,"J",IF(H7&gt;1.89,"J",""))</f>
        <v/>
      </c>
      <c r="Y18" s="144" t="str">
        <f>IF(H7=1.9,"J",IF(H7&gt;1.9,"J",""))</f>
        <v/>
      </c>
      <c r="Z18" s="182"/>
      <c r="AA18" s="135"/>
      <c r="AB18" s="185" t="str">
        <f>IF(AE6=0.81,"J",IF(AE6&gt;0.81,"J",""))</f>
        <v/>
      </c>
      <c r="AC18" s="143" t="str">
        <f>IF(AE6=0.82,"J",IF(AE6&gt;0.82,"J",""))</f>
        <v/>
      </c>
      <c r="AD18" s="143" t="str">
        <f>IF(AE6=0.83,"J",IF(AE6&gt;0.83,"J",""))</f>
        <v/>
      </c>
      <c r="AE18" s="143" t="str">
        <f>IF(AE6=0.84,"J",IF(AE6&gt;0.84,"J",""))</f>
        <v/>
      </c>
      <c r="AF18" s="143" t="str">
        <f>IF(AE6=0.85,"J",IF(AE6&gt;0.85,"J",""))</f>
        <v/>
      </c>
      <c r="AG18" s="143" t="str">
        <f>IF(AE6=0.86,"J",IF(AE6&gt;0.86,"J",""))</f>
        <v/>
      </c>
      <c r="AH18" s="143" t="str">
        <f>IF(AE6=0.87,"J",IF(AE6&gt;0.87,"J",""))</f>
        <v/>
      </c>
      <c r="AI18" s="143" t="str">
        <f>IF(AE6=0.88,"J",IF(AE6&gt;0.88,"J",""))</f>
        <v/>
      </c>
      <c r="AJ18" s="143" t="str">
        <f>IF(AE6=0.89,"J",IF(AE6&gt;0.89,"J",""))</f>
        <v/>
      </c>
      <c r="AK18" s="144" t="str">
        <f>IF(AE6=0.9,"J",IF(AE6&gt;0.9,"J",""))</f>
        <v/>
      </c>
      <c r="AL18" s="163"/>
      <c r="AM18" s="142" t="str">
        <f>IF(AE6=1.81,"J",IF(AE6&gt;1.81,"J",""))</f>
        <v/>
      </c>
      <c r="AN18" s="143" t="str">
        <f>IF(AE6=1.82,"J",IF(AE6&gt;1.82,"J",""))</f>
        <v/>
      </c>
      <c r="AO18" s="143" t="str">
        <f>IF(AE6=1.83,"J",IF(AE6&gt;1.83,"J",""))</f>
        <v/>
      </c>
      <c r="AP18" s="143" t="str">
        <f>IF(AE6=1.84,"J",IF(AE6&gt;1.84,"J",""))</f>
        <v/>
      </c>
      <c r="AQ18" s="143" t="str">
        <f>IF(AE6=1.85,"J",IF(AE6&gt;1.85,"J",""))</f>
        <v/>
      </c>
      <c r="AR18" s="143" t="str">
        <f>IF(AE6=1.86,"J",IF(AE6&gt;1.86,"J",""))</f>
        <v/>
      </c>
      <c r="AS18" s="143" t="str">
        <f>IF(AE6=1.87,"J",IF(AE6&gt;1.87,"J",""))</f>
        <v/>
      </c>
      <c r="AT18" s="143" t="str">
        <f>IF(AE6=1.88,"J",IF(AE6&gt;1.88,"J",""))</f>
        <v/>
      </c>
      <c r="AU18" s="143" t="str">
        <f>IF(AE6=1.89,"J",IF(AE6&gt;1.89,"J",""))</f>
        <v/>
      </c>
      <c r="AV18" s="144" t="str">
        <f>IF(AE6=1.9,"J",IF(AE6&gt;1.9,"J",""))</f>
        <v/>
      </c>
      <c r="AW18" s="196"/>
      <c r="AX18" s="168"/>
      <c r="AY18" s="187"/>
      <c r="AZ18" s="142" t="str">
        <f>IF(BC7=0.81,"J",IF(BC7&gt;0.81,"J",""))</f>
        <v/>
      </c>
      <c r="BA18" s="143" t="str">
        <f>IF(BC7=0.82,"J",IF(BC7&gt;0.82,"J",""))</f>
        <v/>
      </c>
      <c r="BB18" s="143" t="str">
        <f>IF(BC7=0.83,"J",IF(BC7&gt;0.83,"J",""))</f>
        <v/>
      </c>
      <c r="BC18" s="143" t="str">
        <f>IF(BC7=0.84,"J",IF(BC7&gt;0.84,"J",""))</f>
        <v/>
      </c>
      <c r="BD18" s="143" t="str">
        <f>IF(BC7=0.85,"J",IF(BC7&gt;0.85,"J",""))</f>
        <v/>
      </c>
      <c r="BE18" s="143" t="str">
        <f>IF(BC7=0.86,"J",IF(BC7&gt;0.86,"J",""))</f>
        <v/>
      </c>
      <c r="BF18" s="143" t="str">
        <f>IF(BC7=0.87,"J",IF(BC7&gt;0.87,"J",""))</f>
        <v/>
      </c>
      <c r="BG18" s="143" t="str">
        <f>IF(BC7=0.88,"J",IF(BC7&gt;0.88,"J",""))</f>
        <v/>
      </c>
      <c r="BH18" s="143" t="str">
        <f>IF(BC7=0.89,"J",IF(BC7&gt;0.89,"J",""))</f>
        <v/>
      </c>
      <c r="BI18" s="144" t="str">
        <f>IF(BC7=0.9,"J",IF(BC7&gt;0.9,"J",""))</f>
        <v/>
      </c>
      <c r="BJ18" s="163"/>
      <c r="BK18" s="142" t="str">
        <f>IF(BC7=1.81,"J",IF(BC7&gt;1.81,"J",""))</f>
        <v/>
      </c>
      <c r="BL18" s="143" t="str">
        <f>IF(BC7=1.82,"J",IF(BC7&gt;1.82,"J",""))</f>
        <v/>
      </c>
      <c r="BM18" s="143" t="str">
        <f>IF(BC7=1.83,"J",IF(BC7&gt;1.83,"J",""))</f>
        <v/>
      </c>
      <c r="BN18" s="143" t="str">
        <f>IF(BC7=1.84,"J",IF(BC7&gt;1.84,"J",""))</f>
        <v/>
      </c>
      <c r="BO18" s="143" t="str">
        <f>IF(BC7=1.85,"J",IF(BC7&gt;1.85,"J",""))</f>
        <v/>
      </c>
      <c r="BP18" s="143" t="str">
        <f>IF(BC7=1.86,"J",IF(BC7&gt;1.86,"J",""))</f>
        <v/>
      </c>
      <c r="BQ18" s="143" t="str">
        <f>IF(BC7=1.87,"J",IF(BC7&gt;1.87,"J",""))</f>
        <v/>
      </c>
      <c r="BR18" s="143" t="str">
        <f>IF(BC7=1.88,"J",IF(BC7&gt;1.88,"J",""))</f>
        <v/>
      </c>
      <c r="BS18" s="143" t="str">
        <f>IF(BC7=1.89,"J",IF(BC7&gt;1.89,"J",""))</f>
        <v/>
      </c>
      <c r="BT18" s="144" t="str">
        <f>IF(BC7=1.9,"J",IF(BC7&gt;1.9,"J",""))</f>
        <v/>
      </c>
      <c r="BU18" s="182"/>
      <c r="BV18" s="2"/>
      <c r="BW18" s="2"/>
    </row>
    <row r="19" spans="4:75" ht="11.25" customHeight="1" thickBot="1">
      <c r="D19" s="284"/>
      <c r="E19" s="186" t="str">
        <f>IF(H7=0.91,"J",IF(H7&gt;0.91,"J",""))</f>
        <v/>
      </c>
      <c r="F19" s="146" t="str">
        <f>IF(H7=0.92,"J",IF(H7&gt;0.92,"J",""))</f>
        <v/>
      </c>
      <c r="G19" s="146" t="str">
        <f>IF(H7=0.93,"J",IF(H7&gt;0.93,"J",""))</f>
        <v/>
      </c>
      <c r="H19" s="146" t="str">
        <f>IF(H7=0.94,"J",IF(H7&gt;0.94,"J",""))</f>
        <v/>
      </c>
      <c r="I19" s="146" t="str">
        <f>IF(H7=0.95,"J",IF(H7&gt;0.95,"J",""))</f>
        <v/>
      </c>
      <c r="J19" s="146" t="str">
        <f>IF(H7=0.96,"J",IF(H7&gt;0.96,"J",""))</f>
        <v/>
      </c>
      <c r="K19" s="146" t="str">
        <f>IF(H7=0.97,"J",IF(H7&gt;0.97,"J",""))</f>
        <v/>
      </c>
      <c r="L19" s="146" t="str">
        <f>IF(H7=0.98,"J",IF(H7&gt;0.98,"J",""))</f>
        <v/>
      </c>
      <c r="M19" s="146" t="str">
        <f>IF(H7=0.99,"J",IF(H7&gt;0.99,"J",""))</f>
        <v/>
      </c>
      <c r="N19" s="147" t="str">
        <f>IF(H7=1,"J",IF(H7&gt;1,"J",""))</f>
        <v/>
      </c>
      <c r="O19" s="163"/>
      <c r="P19" s="145" t="str">
        <f>IF(H7=1.91,"J",IF(H7&gt;1.91,"J",""))</f>
        <v/>
      </c>
      <c r="Q19" s="146" t="str">
        <f>IF(H7=1.92,"J",IF(H7&gt;1.92,"J",""))</f>
        <v/>
      </c>
      <c r="R19" s="146" t="str">
        <f>IF(H7=1.93,"J",IF(H7&gt;1.93,"J",""))</f>
        <v/>
      </c>
      <c r="S19" s="146" t="str">
        <f>IF(H7=1.94,"J",IF(H7&gt;1.94,"J",""))</f>
        <v/>
      </c>
      <c r="T19" s="146" t="str">
        <f>IF(H7=1.95,"J",IF(H7&gt;1.95,"J",""))</f>
        <v/>
      </c>
      <c r="U19" s="146" t="str">
        <f>IF(H7=1.96,"J",IF(H7&gt;1.96,"J",""))</f>
        <v/>
      </c>
      <c r="V19" s="146" t="str">
        <f>IF(H7=1.97,"J",IF(H7&gt;1.97,"J",""))</f>
        <v/>
      </c>
      <c r="W19" s="146" t="str">
        <f>IF(H7=1.98,"J",IF(H7&gt;1.98,"J",""))</f>
        <v/>
      </c>
      <c r="X19" s="146" t="str">
        <f>IF(H7=1.99,"J",IF(H7&gt;1.99,"J",""))</f>
        <v/>
      </c>
      <c r="Y19" s="147" t="str">
        <f>IF(H7=2,"J",IF(H7&gt;2,"J",""))</f>
        <v/>
      </c>
      <c r="Z19" s="182"/>
      <c r="AA19" s="135"/>
      <c r="AB19" s="186" t="str">
        <f>IF(AE6=0.91,"J",IF(AE6&gt;0.91,"J",""))</f>
        <v/>
      </c>
      <c r="AC19" s="146" t="str">
        <f>IF(AE6=0.92,"J",IF(AE6&gt;0.92,"J",""))</f>
        <v/>
      </c>
      <c r="AD19" s="146" t="str">
        <f>IF(AE6=0.93,"J",IF(AE6&gt;0.93,"J",""))</f>
        <v/>
      </c>
      <c r="AE19" s="146" t="str">
        <f>IF(AE6=0.94,"J",IF(AE6&gt;0.94,"J",""))</f>
        <v/>
      </c>
      <c r="AF19" s="146" t="str">
        <f>IF(AE6=0.95,"J",IF(AE6&gt;0.95,"J",""))</f>
        <v/>
      </c>
      <c r="AG19" s="146" t="str">
        <f>IF(AE6=0.96,"J",IF(AE6&gt;0.96,"J",""))</f>
        <v/>
      </c>
      <c r="AH19" s="146" t="str">
        <f>IF(AE6=0.97,"J",IF(AE6&gt;0.97,"J",""))</f>
        <v/>
      </c>
      <c r="AI19" s="146" t="str">
        <f>IF(AE6=0.98,"J",IF(AE6&gt;0.98,"J",""))</f>
        <v/>
      </c>
      <c r="AJ19" s="146" t="str">
        <f>IF(AE6=0.99,"J",IF(AE6&gt;0.99,"J",""))</f>
        <v/>
      </c>
      <c r="AK19" s="147" t="str">
        <f>IF(AE6=1,"J",IF(AE6&gt;1,"J",""))</f>
        <v/>
      </c>
      <c r="AL19" s="163"/>
      <c r="AM19" s="145" t="str">
        <f>IF(AE6=1.91,"J",IF(AE6&gt;1.91,"J",""))</f>
        <v/>
      </c>
      <c r="AN19" s="146" t="str">
        <f>IF(AE6=1.92,"J",IF(AE6&gt;1.92,"J",""))</f>
        <v/>
      </c>
      <c r="AO19" s="146" t="str">
        <f>IF(AE6=1.93,"J",IF(AE6&gt;1.93,"J",""))</f>
        <v/>
      </c>
      <c r="AP19" s="146" t="str">
        <f>IF(AE6=1.94,"J",IF(AE6&gt;1.94,"J",""))</f>
        <v/>
      </c>
      <c r="AQ19" s="146" t="str">
        <f>IF(AE6=1.95,"J",IF(AE6&gt;1.95,"J",""))</f>
        <v/>
      </c>
      <c r="AR19" s="146" t="str">
        <f>IF(AE6=1.96,"J",IF(AE6&gt;1.96,"J",""))</f>
        <v/>
      </c>
      <c r="AS19" s="146" t="str">
        <f>IF(AE6=1.97,"J",IF(AE6&gt;1.97,"J",""))</f>
        <v/>
      </c>
      <c r="AT19" s="146" t="str">
        <f>IF(AE6=1.98,"J",IF(AE6&gt;1.98,"J",""))</f>
        <v/>
      </c>
      <c r="AU19" s="146" t="str">
        <f>IF(AE6=1.99,"J",IF(AE6&gt;1.99,"J",""))</f>
        <v/>
      </c>
      <c r="AV19" s="147" t="str">
        <f>IF(AE6=2,"J",IF(AE6&gt;2,"J",""))</f>
        <v/>
      </c>
      <c r="AW19" s="196"/>
      <c r="AX19" s="168"/>
      <c r="AY19" s="187"/>
      <c r="AZ19" s="145" t="str">
        <f>IF(BC7=0.91,"J",IF(BC7&gt;0.91,"J",""))</f>
        <v/>
      </c>
      <c r="BA19" s="146" t="str">
        <f>IF(BC7=0.92,"J",IF(BC7&gt;0.92,"J",""))</f>
        <v/>
      </c>
      <c r="BB19" s="146" t="str">
        <f>IF(BC7=0.93,"J",IF(BC7&gt;0.93,"J",""))</f>
        <v/>
      </c>
      <c r="BC19" s="146" t="str">
        <f>IF(BC7=0.94,"J",IF(BC7&gt;0.94,"J",""))</f>
        <v/>
      </c>
      <c r="BD19" s="146" t="str">
        <f>IF(BC7=0.95,"J",IF(BC7&gt;0.95,"J",""))</f>
        <v/>
      </c>
      <c r="BE19" s="146" t="str">
        <f>IF(BC7=0.96,"J",IF(BC7&gt;0.96,"J",""))</f>
        <v/>
      </c>
      <c r="BF19" s="146" t="str">
        <f>IF(BC7=0.97,"J",IF(BC7&gt;0.97,"J",""))</f>
        <v/>
      </c>
      <c r="BG19" s="146" t="str">
        <f>IF(BC7=0.98,"J",IF(BC7&gt;0.98,"J",""))</f>
        <v/>
      </c>
      <c r="BH19" s="146" t="str">
        <f>IF(BC7=0.99,"J",IF(BC7&gt;0.99,"J",""))</f>
        <v/>
      </c>
      <c r="BI19" s="147" t="str">
        <f>IF(BC7=1,"J",IF(BC7&gt;1,"J",""))</f>
        <v/>
      </c>
      <c r="BJ19" s="163"/>
      <c r="BK19" s="145" t="str">
        <f>IF(BC7=1.91,"J",IF(BC7&gt;1.91,"J",""))</f>
        <v/>
      </c>
      <c r="BL19" s="146" t="str">
        <f>IF(BC7=1.92,"J",IF(BC7&gt;1.92,"J",""))</f>
        <v/>
      </c>
      <c r="BM19" s="146" t="str">
        <f>IF(BC7=1.93,"J",IF(BC7&gt;1.93,"J",""))</f>
        <v/>
      </c>
      <c r="BN19" s="146" t="str">
        <f>IF(BC7=1.94,"J",IF(BC7&gt;1.94,"J",""))</f>
        <v/>
      </c>
      <c r="BO19" s="146" t="str">
        <f>IF(BC7=1.95,"J",IF(BC7&gt;1.95,"J",""))</f>
        <v/>
      </c>
      <c r="BP19" s="146" t="str">
        <f>IF(BC7=1.96,"J",IF(BC7&gt;1.96,"J",""))</f>
        <v/>
      </c>
      <c r="BQ19" s="146" t="str">
        <f>IF(BC7=1.97,"J",IF(BC7&gt;1.97,"J",""))</f>
        <v/>
      </c>
      <c r="BR19" s="146" t="str">
        <f>IF(BC7=1.98,"J",IF(BC7&gt;1.98,"J",""))</f>
        <v/>
      </c>
      <c r="BS19" s="146" t="str">
        <f>IF(BC7=1.99,"J",IF(BC7&gt;1.99,"J",""))</f>
        <v/>
      </c>
      <c r="BT19" s="147" t="str">
        <f>IF(BC7=2,"J",IF(BC7&gt;2,"J",""))</f>
        <v/>
      </c>
      <c r="BU19" s="182"/>
      <c r="BV19" s="2"/>
      <c r="BW19" s="2"/>
    </row>
    <row r="20" spans="4:75" ht="15.75" thickTop="1">
      <c r="D20" s="284"/>
      <c r="E20" s="282"/>
      <c r="F20" s="163"/>
      <c r="G20" s="163"/>
      <c r="H20" s="163"/>
      <c r="I20" s="163"/>
      <c r="J20" s="163"/>
      <c r="K20" s="163"/>
      <c r="L20" s="163"/>
      <c r="M20" s="163"/>
      <c r="N20" s="163"/>
      <c r="O20" s="163"/>
      <c r="P20" s="163"/>
      <c r="Q20" s="163"/>
      <c r="R20" s="163"/>
      <c r="S20" s="163"/>
      <c r="T20" s="163"/>
      <c r="U20" s="163"/>
      <c r="V20" s="163"/>
      <c r="W20" s="163"/>
      <c r="X20" s="163"/>
      <c r="Y20" s="163"/>
      <c r="Z20" s="182"/>
      <c r="AA20" s="135"/>
      <c r="AB20" s="181"/>
      <c r="AC20" s="163"/>
      <c r="AD20" s="163"/>
      <c r="AE20" s="163"/>
      <c r="AF20" s="163"/>
      <c r="AG20" s="163"/>
      <c r="AH20" s="163"/>
      <c r="AI20" s="163"/>
      <c r="AJ20" s="163"/>
      <c r="AK20" s="163"/>
      <c r="AL20" s="163"/>
      <c r="AM20" s="163"/>
      <c r="AN20" s="163"/>
      <c r="AO20" s="163"/>
      <c r="AP20" s="163"/>
      <c r="AQ20" s="163"/>
      <c r="AR20" s="163"/>
      <c r="AS20" s="163"/>
      <c r="AT20" s="163"/>
      <c r="AU20" s="163"/>
      <c r="AV20" s="163"/>
      <c r="AW20" s="179"/>
      <c r="AX20" s="163"/>
      <c r="AY20" s="187"/>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82"/>
      <c r="BV20" s="2"/>
      <c r="BW20" s="2"/>
    </row>
    <row r="21" spans="4:75">
      <c r="D21" s="284"/>
      <c r="E21" s="135"/>
      <c r="F21" s="135"/>
      <c r="G21" s="135"/>
      <c r="H21" s="135"/>
      <c r="I21" s="135"/>
      <c r="J21" s="135"/>
      <c r="K21" s="135"/>
      <c r="L21" s="135"/>
      <c r="M21" s="135"/>
      <c r="N21" s="135"/>
      <c r="O21" s="135"/>
      <c r="P21" s="163"/>
      <c r="Q21" s="163"/>
      <c r="R21" s="163"/>
      <c r="S21" s="163"/>
      <c r="T21" s="163"/>
      <c r="U21" s="163"/>
      <c r="V21" s="163"/>
      <c r="W21" s="163"/>
      <c r="X21" s="163"/>
      <c r="Y21" s="163"/>
      <c r="Z21" s="182"/>
      <c r="AA21" s="135"/>
      <c r="AB21" s="187"/>
      <c r="AC21" s="135"/>
      <c r="AD21" s="135"/>
      <c r="AE21" s="135"/>
      <c r="AF21" s="135"/>
      <c r="AG21" s="135"/>
      <c r="AH21" s="135"/>
      <c r="AI21" s="135"/>
      <c r="AJ21" s="135"/>
      <c r="AK21" s="135"/>
      <c r="AL21" s="135"/>
      <c r="AM21" s="163"/>
      <c r="AN21" s="163"/>
      <c r="AO21" s="163"/>
      <c r="AP21" s="163"/>
      <c r="AQ21" s="163"/>
      <c r="AR21" s="163"/>
      <c r="AS21" s="163"/>
      <c r="AT21" s="163"/>
      <c r="AU21" s="163"/>
      <c r="AV21" s="163"/>
      <c r="AW21" s="179"/>
      <c r="AX21" s="163"/>
      <c r="AY21" s="187"/>
      <c r="AZ21" s="135"/>
      <c r="BA21" s="135"/>
      <c r="BB21" s="135"/>
      <c r="BC21" s="135"/>
      <c r="BD21" s="135"/>
      <c r="BE21" s="135"/>
      <c r="BF21" s="135"/>
      <c r="BG21" s="135"/>
      <c r="BH21" s="135"/>
      <c r="BI21" s="135"/>
      <c r="BJ21" s="135"/>
      <c r="BK21" s="163"/>
      <c r="BL21" s="163"/>
      <c r="BM21" s="163"/>
      <c r="BN21" s="163"/>
      <c r="BO21" s="163"/>
      <c r="BP21" s="163"/>
      <c r="BQ21" s="163"/>
      <c r="BR21" s="163"/>
      <c r="BS21" s="163"/>
      <c r="BT21" s="163"/>
      <c r="BU21" s="182"/>
      <c r="BV21" s="2"/>
      <c r="BW21" s="2"/>
    </row>
    <row r="22" spans="4:75">
      <c r="D22" s="284"/>
      <c r="E22" s="189"/>
      <c r="F22" s="189"/>
      <c r="G22" s="189"/>
      <c r="H22" s="189"/>
      <c r="I22" s="189"/>
      <c r="J22" s="189"/>
      <c r="K22" s="189"/>
      <c r="L22" s="189"/>
      <c r="M22" s="189"/>
      <c r="N22" s="189"/>
      <c r="O22" s="189"/>
      <c r="P22" s="190"/>
      <c r="Q22" s="190"/>
      <c r="R22" s="190"/>
      <c r="S22" s="190"/>
      <c r="T22" s="190"/>
      <c r="U22" s="190"/>
      <c r="V22" s="190"/>
      <c r="W22" s="190"/>
      <c r="X22" s="190"/>
      <c r="Y22" s="190"/>
      <c r="Z22" s="191"/>
      <c r="AA22" s="286"/>
      <c r="AB22" s="188"/>
      <c r="AC22" s="189"/>
      <c r="AD22" s="189"/>
      <c r="AE22" s="189"/>
      <c r="AF22" s="189"/>
      <c r="AG22" s="189"/>
      <c r="AH22" s="189"/>
      <c r="AI22" s="189"/>
      <c r="AJ22" s="189"/>
      <c r="AK22" s="189"/>
      <c r="AL22" s="189"/>
      <c r="AM22" s="190"/>
      <c r="AN22" s="190"/>
      <c r="AO22" s="190"/>
      <c r="AP22" s="190"/>
      <c r="AQ22" s="190"/>
      <c r="AR22" s="190"/>
      <c r="AS22" s="190"/>
      <c r="AT22" s="190"/>
      <c r="AU22" s="190"/>
      <c r="AV22" s="190"/>
      <c r="AW22" s="197"/>
      <c r="AX22" s="287"/>
      <c r="AY22" s="188"/>
      <c r="AZ22" s="189"/>
      <c r="BA22" s="189"/>
      <c r="BB22" s="189"/>
      <c r="BC22" s="189"/>
      <c r="BD22" s="189"/>
      <c r="BE22" s="189"/>
      <c r="BF22" s="189"/>
      <c r="BG22" s="189"/>
      <c r="BH22" s="189"/>
      <c r="BI22" s="189"/>
      <c r="BJ22" s="189"/>
      <c r="BK22" s="190"/>
      <c r="BL22" s="190"/>
      <c r="BM22" s="190"/>
      <c r="BN22" s="190"/>
      <c r="BO22" s="190"/>
      <c r="BP22" s="190"/>
      <c r="BQ22" s="190"/>
      <c r="BR22" s="190"/>
      <c r="BS22" s="190"/>
      <c r="BT22" s="190"/>
      <c r="BU22" s="191"/>
      <c r="BV22" s="2"/>
      <c r="BW22" s="2"/>
    </row>
    <row r="23" spans="4:75">
      <c r="D23" s="3"/>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4:75">
      <c r="D24" s="3"/>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4:75">
      <c r="D25" s="3"/>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4:75">
      <c r="D26" s="3"/>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4:75">
      <c r="D27" s="3"/>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4:75">
      <c r="D28" s="3"/>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4:75">
      <c r="D29" s="3"/>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4:75">
      <c r="D30" s="3"/>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4:75">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4:75">
      <c r="D32" s="3"/>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4:75">
      <c r="D33" s="3"/>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4:75">
      <c r="D34" s="3"/>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4:75">
      <c r="D35" s="3"/>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4:75">
      <c r="D36" s="3"/>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4:75">
      <c r="D37" s="3"/>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4:75">
      <c r="D38" s="3"/>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4:75">
      <c r="D39" s="3"/>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4:75">
      <c r="D40" s="3"/>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4:75">
      <c r="D41" s="3"/>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4:75">
      <c r="D42" s="3"/>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sheetData>
  <sheetProtection password="C613" sheet="1" objects="1" scenarios="1"/>
  <mergeCells count="6">
    <mergeCell ref="BC6:BE6"/>
    <mergeCell ref="AY6:BB6"/>
    <mergeCell ref="E6:G6"/>
    <mergeCell ref="E7:G7"/>
    <mergeCell ref="AY7:BB7"/>
    <mergeCell ref="AE6:AH7"/>
  </mergeCells>
  <phoneticPr fontId="0" type="noConversion"/>
  <conditionalFormatting sqref="E10:N19 P10:Y19">
    <cfRule type="cellIs" dxfId="5" priority="1" stopIfTrue="1" operator="equal">
      <formula>"J"</formula>
    </cfRule>
  </conditionalFormatting>
  <conditionalFormatting sqref="H7">
    <cfRule type="cellIs" dxfId="4" priority="2" stopIfTrue="1" operator="greaterThan">
      <formula>3</formula>
    </cfRule>
  </conditionalFormatting>
  <conditionalFormatting sqref="AB10:AK19 AM10:AX19">
    <cfRule type="cellIs" dxfId="3" priority="3" stopIfTrue="1" operator="equal">
      <formula>"J"</formula>
    </cfRule>
  </conditionalFormatting>
  <conditionalFormatting sqref="AZ10:BI19 BK10:BT19">
    <cfRule type="cellIs" dxfId="2" priority="4" stopIfTrue="1" operator="equal">
      <formula>"J"</formula>
    </cfRule>
  </conditionalFormatting>
  <conditionalFormatting sqref="AE6:AH7">
    <cfRule type="cellIs" dxfId="1" priority="5" stopIfTrue="1" operator="greaterThan">
      <formula>2</formula>
    </cfRule>
  </conditionalFormatting>
  <conditionalFormatting sqref="AY6:BB6">
    <cfRule type="cellIs" dxfId="0" priority="6" stopIfTrue="1" operator="greaterThan">
      <formula>200</formula>
    </cfRule>
  </conditionalFormatting>
  <pageMargins left="0.75" right="0.75" top="1" bottom="1" header="0.5" footer="0.5"/>
  <headerFooter alignWithMargins="0"/>
  <drawing r:id="rId1"/>
  <legacyDrawing r:id="rId2"/>
</worksheet>
</file>

<file path=xl/worksheets/sheet9.xml><?xml version="1.0" encoding="utf-8"?>
<worksheet xmlns="http://schemas.openxmlformats.org/spreadsheetml/2006/main" xmlns:r="http://schemas.openxmlformats.org/officeDocument/2006/relationships">
  <dimension ref="A1:AV119"/>
  <sheetViews>
    <sheetView workbookViewId="0"/>
  </sheetViews>
  <sheetFormatPr defaultRowHeight="19.5"/>
  <cols>
    <col min="1" max="1" width="5.375" style="29" customWidth="1"/>
    <col min="2" max="2" width="8.25" style="29" customWidth="1"/>
    <col min="3" max="3" width="4.625" style="29" customWidth="1"/>
    <col min="4" max="4" width="3.5" style="29" customWidth="1"/>
    <col min="5" max="5" width="7.25" style="29" customWidth="1"/>
    <col min="6" max="6" width="4.375" style="29" customWidth="1"/>
    <col min="7" max="7" width="8.125" style="29" customWidth="1"/>
    <col min="8" max="8" width="6.375" style="29" customWidth="1"/>
    <col min="9" max="9" width="3" style="29" customWidth="1"/>
    <col min="10" max="13" width="3.375" style="29" customWidth="1"/>
    <col min="14" max="14" width="1.75" style="29" customWidth="1"/>
    <col min="15" max="15" width="3.875" style="29" customWidth="1"/>
    <col min="16" max="16" width="1.5" style="29" customWidth="1"/>
    <col min="17" max="20" width="3.375" style="29" customWidth="1"/>
    <col min="21" max="256" width="9" style="29"/>
    <col min="257" max="257" width="5.375" style="29" customWidth="1"/>
    <col min="258" max="258" width="8.25" style="29" customWidth="1"/>
    <col min="259" max="259" width="4.625" style="29" customWidth="1"/>
    <col min="260" max="260" width="3.5" style="29" customWidth="1"/>
    <col min="261" max="261" width="7.25" style="29" customWidth="1"/>
    <col min="262" max="262" width="4.375" style="29" customWidth="1"/>
    <col min="263" max="263" width="8.125" style="29" customWidth="1"/>
    <col min="264" max="264" width="6.375" style="29" customWidth="1"/>
    <col min="265" max="265" width="3" style="29" customWidth="1"/>
    <col min="266" max="269" width="3.375" style="29" customWidth="1"/>
    <col min="270" max="270" width="1.75" style="29" customWidth="1"/>
    <col min="271" max="271" width="3.875" style="29" customWidth="1"/>
    <col min="272" max="272" width="1.5" style="29" customWidth="1"/>
    <col min="273" max="276" width="3.375" style="29" customWidth="1"/>
    <col min="277" max="512" width="9" style="29"/>
    <col min="513" max="513" width="5.375" style="29" customWidth="1"/>
    <col min="514" max="514" width="8.25" style="29" customWidth="1"/>
    <col min="515" max="515" width="4.625" style="29" customWidth="1"/>
    <col min="516" max="516" width="3.5" style="29" customWidth="1"/>
    <col min="517" max="517" width="7.25" style="29" customWidth="1"/>
    <col min="518" max="518" width="4.375" style="29" customWidth="1"/>
    <col min="519" max="519" width="8.125" style="29" customWidth="1"/>
    <col min="520" max="520" width="6.375" style="29" customWidth="1"/>
    <col min="521" max="521" width="3" style="29" customWidth="1"/>
    <col min="522" max="525" width="3.375" style="29" customWidth="1"/>
    <col min="526" max="526" width="1.75" style="29" customWidth="1"/>
    <col min="527" max="527" width="3.875" style="29" customWidth="1"/>
    <col min="528" max="528" width="1.5" style="29" customWidth="1"/>
    <col min="529" max="532" width="3.375" style="29" customWidth="1"/>
    <col min="533" max="768" width="9" style="29"/>
    <col min="769" max="769" width="5.375" style="29" customWidth="1"/>
    <col min="770" max="770" width="8.25" style="29" customWidth="1"/>
    <col min="771" max="771" width="4.625" style="29" customWidth="1"/>
    <col min="772" max="772" width="3.5" style="29" customWidth="1"/>
    <col min="773" max="773" width="7.25" style="29" customWidth="1"/>
    <col min="774" max="774" width="4.375" style="29" customWidth="1"/>
    <col min="775" max="775" width="8.125" style="29" customWidth="1"/>
    <col min="776" max="776" width="6.375" style="29" customWidth="1"/>
    <col min="777" max="777" width="3" style="29" customWidth="1"/>
    <col min="778" max="781" width="3.375" style="29" customWidth="1"/>
    <col min="782" max="782" width="1.75" style="29" customWidth="1"/>
    <col min="783" max="783" width="3.875" style="29" customWidth="1"/>
    <col min="784" max="784" width="1.5" style="29" customWidth="1"/>
    <col min="785" max="788" width="3.375" style="29" customWidth="1"/>
    <col min="789" max="1024" width="9" style="29"/>
    <col min="1025" max="1025" width="5.375" style="29" customWidth="1"/>
    <col min="1026" max="1026" width="8.25" style="29" customWidth="1"/>
    <col min="1027" max="1027" width="4.625" style="29" customWidth="1"/>
    <col min="1028" max="1028" width="3.5" style="29" customWidth="1"/>
    <col min="1029" max="1029" width="7.25" style="29" customWidth="1"/>
    <col min="1030" max="1030" width="4.375" style="29" customWidth="1"/>
    <col min="1031" max="1031" width="8.125" style="29" customWidth="1"/>
    <col min="1032" max="1032" width="6.375" style="29" customWidth="1"/>
    <col min="1033" max="1033" width="3" style="29" customWidth="1"/>
    <col min="1034" max="1037" width="3.375" style="29" customWidth="1"/>
    <col min="1038" max="1038" width="1.75" style="29" customWidth="1"/>
    <col min="1039" max="1039" width="3.875" style="29" customWidth="1"/>
    <col min="1040" max="1040" width="1.5" style="29" customWidth="1"/>
    <col min="1041" max="1044" width="3.375" style="29" customWidth="1"/>
    <col min="1045" max="1280" width="9" style="29"/>
    <col min="1281" max="1281" width="5.375" style="29" customWidth="1"/>
    <col min="1282" max="1282" width="8.25" style="29" customWidth="1"/>
    <col min="1283" max="1283" width="4.625" style="29" customWidth="1"/>
    <col min="1284" max="1284" width="3.5" style="29" customWidth="1"/>
    <col min="1285" max="1285" width="7.25" style="29" customWidth="1"/>
    <col min="1286" max="1286" width="4.375" style="29" customWidth="1"/>
    <col min="1287" max="1287" width="8.125" style="29" customWidth="1"/>
    <col min="1288" max="1288" width="6.375" style="29" customWidth="1"/>
    <col min="1289" max="1289" width="3" style="29" customWidth="1"/>
    <col min="1290" max="1293" width="3.375" style="29" customWidth="1"/>
    <col min="1294" max="1294" width="1.75" style="29" customWidth="1"/>
    <col min="1295" max="1295" width="3.875" style="29" customWidth="1"/>
    <col min="1296" max="1296" width="1.5" style="29" customWidth="1"/>
    <col min="1297" max="1300" width="3.375" style="29" customWidth="1"/>
    <col min="1301" max="1536" width="9" style="29"/>
    <col min="1537" max="1537" width="5.375" style="29" customWidth="1"/>
    <col min="1538" max="1538" width="8.25" style="29" customWidth="1"/>
    <col min="1539" max="1539" width="4.625" style="29" customWidth="1"/>
    <col min="1540" max="1540" width="3.5" style="29" customWidth="1"/>
    <col min="1541" max="1541" width="7.25" style="29" customWidth="1"/>
    <col min="1542" max="1542" width="4.375" style="29" customWidth="1"/>
    <col min="1543" max="1543" width="8.125" style="29" customWidth="1"/>
    <col min="1544" max="1544" width="6.375" style="29" customWidth="1"/>
    <col min="1545" max="1545" width="3" style="29" customWidth="1"/>
    <col min="1546" max="1549" width="3.375" style="29" customWidth="1"/>
    <col min="1550" max="1550" width="1.75" style="29" customWidth="1"/>
    <col min="1551" max="1551" width="3.875" style="29" customWidth="1"/>
    <col min="1552" max="1552" width="1.5" style="29" customWidth="1"/>
    <col min="1553" max="1556" width="3.375" style="29" customWidth="1"/>
    <col min="1557" max="1792" width="9" style="29"/>
    <col min="1793" max="1793" width="5.375" style="29" customWidth="1"/>
    <col min="1794" max="1794" width="8.25" style="29" customWidth="1"/>
    <col min="1795" max="1795" width="4.625" style="29" customWidth="1"/>
    <col min="1796" max="1796" width="3.5" style="29" customWidth="1"/>
    <col min="1797" max="1797" width="7.25" style="29" customWidth="1"/>
    <col min="1798" max="1798" width="4.375" style="29" customWidth="1"/>
    <col min="1799" max="1799" width="8.125" style="29" customWidth="1"/>
    <col min="1800" max="1800" width="6.375" style="29" customWidth="1"/>
    <col min="1801" max="1801" width="3" style="29" customWidth="1"/>
    <col min="1802" max="1805" width="3.375" style="29" customWidth="1"/>
    <col min="1806" max="1806" width="1.75" style="29" customWidth="1"/>
    <col min="1807" max="1807" width="3.875" style="29" customWidth="1"/>
    <col min="1808" max="1808" width="1.5" style="29" customWidth="1"/>
    <col min="1809" max="1812" width="3.375" style="29" customWidth="1"/>
    <col min="1813" max="2048" width="9" style="29"/>
    <col min="2049" max="2049" width="5.375" style="29" customWidth="1"/>
    <col min="2050" max="2050" width="8.25" style="29" customWidth="1"/>
    <col min="2051" max="2051" width="4.625" style="29" customWidth="1"/>
    <col min="2052" max="2052" width="3.5" style="29" customWidth="1"/>
    <col min="2053" max="2053" width="7.25" style="29" customWidth="1"/>
    <col min="2054" max="2054" width="4.375" style="29" customWidth="1"/>
    <col min="2055" max="2055" width="8.125" style="29" customWidth="1"/>
    <col min="2056" max="2056" width="6.375" style="29" customWidth="1"/>
    <col min="2057" max="2057" width="3" style="29" customWidth="1"/>
    <col min="2058" max="2061" width="3.375" style="29" customWidth="1"/>
    <col min="2062" max="2062" width="1.75" style="29" customWidth="1"/>
    <col min="2063" max="2063" width="3.875" style="29" customWidth="1"/>
    <col min="2064" max="2064" width="1.5" style="29" customWidth="1"/>
    <col min="2065" max="2068" width="3.375" style="29" customWidth="1"/>
    <col min="2069" max="2304" width="9" style="29"/>
    <col min="2305" max="2305" width="5.375" style="29" customWidth="1"/>
    <col min="2306" max="2306" width="8.25" style="29" customWidth="1"/>
    <col min="2307" max="2307" width="4.625" style="29" customWidth="1"/>
    <col min="2308" max="2308" width="3.5" style="29" customWidth="1"/>
    <col min="2309" max="2309" width="7.25" style="29" customWidth="1"/>
    <col min="2310" max="2310" width="4.375" style="29" customWidth="1"/>
    <col min="2311" max="2311" width="8.125" style="29" customWidth="1"/>
    <col min="2312" max="2312" width="6.375" style="29" customWidth="1"/>
    <col min="2313" max="2313" width="3" style="29" customWidth="1"/>
    <col min="2314" max="2317" width="3.375" style="29" customWidth="1"/>
    <col min="2318" max="2318" width="1.75" style="29" customWidth="1"/>
    <col min="2319" max="2319" width="3.875" style="29" customWidth="1"/>
    <col min="2320" max="2320" width="1.5" style="29" customWidth="1"/>
    <col min="2321" max="2324" width="3.375" style="29" customWidth="1"/>
    <col min="2325" max="2560" width="9" style="29"/>
    <col min="2561" max="2561" width="5.375" style="29" customWidth="1"/>
    <col min="2562" max="2562" width="8.25" style="29" customWidth="1"/>
    <col min="2563" max="2563" width="4.625" style="29" customWidth="1"/>
    <col min="2564" max="2564" width="3.5" style="29" customWidth="1"/>
    <col min="2565" max="2565" width="7.25" style="29" customWidth="1"/>
    <col min="2566" max="2566" width="4.375" style="29" customWidth="1"/>
    <col min="2567" max="2567" width="8.125" style="29" customWidth="1"/>
    <col min="2568" max="2568" width="6.375" style="29" customWidth="1"/>
    <col min="2569" max="2569" width="3" style="29" customWidth="1"/>
    <col min="2570" max="2573" width="3.375" style="29" customWidth="1"/>
    <col min="2574" max="2574" width="1.75" style="29" customWidth="1"/>
    <col min="2575" max="2575" width="3.875" style="29" customWidth="1"/>
    <col min="2576" max="2576" width="1.5" style="29" customWidth="1"/>
    <col min="2577" max="2580" width="3.375" style="29" customWidth="1"/>
    <col min="2581" max="2816" width="9" style="29"/>
    <col min="2817" max="2817" width="5.375" style="29" customWidth="1"/>
    <col min="2818" max="2818" width="8.25" style="29" customWidth="1"/>
    <col min="2819" max="2819" width="4.625" style="29" customWidth="1"/>
    <col min="2820" max="2820" width="3.5" style="29" customWidth="1"/>
    <col min="2821" max="2821" width="7.25" style="29" customWidth="1"/>
    <col min="2822" max="2822" width="4.375" style="29" customWidth="1"/>
    <col min="2823" max="2823" width="8.125" style="29" customWidth="1"/>
    <col min="2824" max="2824" width="6.375" style="29" customWidth="1"/>
    <col min="2825" max="2825" width="3" style="29" customWidth="1"/>
    <col min="2826" max="2829" width="3.375" style="29" customWidth="1"/>
    <col min="2830" max="2830" width="1.75" style="29" customWidth="1"/>
    <col min="2831" max="2831" width="3.875" style="29" customWidth="1"/>
    <col min="2832" max="2832" width="1.5" style="29" customWidth="1"/>
    <col min="2833" max="2836" width="3.375" style="29" customWidth="1"/>
    <col min="2837" max="3072" width="9" style="29"/>
    <col min="3073" max="3073" width="5.375" style="29" customWidth="1"/>
    <col min="3074" max="3074" width="8.25" style="29" customWidth="1"/>
    <col min="3075" max="3075" width="4.625" style="29" customWidth="1"/>
    <col min="3076" max="3076" width="3.5" style="29" customWidth="1"/>
    <col min="3077" max="3077" width="7.25" style="29" customWidth="1"/>
    <col min="3078" max="3078" width="4.375" style="29" customWidth="1"/>
    <col min="3079" max="3079" width="8.125" style="29" customWidth="1"/>
    <col min="3080" max="3080" width="6.375" style="29" customWidth="1"/>
    <col min="3081" max="3081" width="3" style="29" customWidth="1"/>
    <col min="3082" max="3085" width="3.375" style="29" customWidth="1"/>
    <col min="3086" max="3086" width="1.75" style="29" customWidth="1"/>
    <col min="3087" max="3087" width="3.875" style="29" customWidth="1"/>
    <col min="3088" max="3088" width="1.5" style="29" customWidth="1"/>
    <col min="3089" max="3092" width="3.375" style="29" customWidth="1"/>
    <col min="3093" max="3328" width="9" style="29"/>
    <col min="3329" max="3329" width="5.375" style="29" customWidth="1"/>
    <col min="3330" max="3330" width="8.25" style="29" customWidth="1"/>
    <col min="3331" max="3331" width="4.625" style="29" customWidth="1"/>
    <col min="3332" max="3332" width="3.5" style="29" customWidth="1"/>
    <col min="3333" max="3333" width="7.25" style="29" customWidth="1"/>
    <col min="3334" max="3334" width="4.375" style="29" customWidth="1"/>
    <col min="3335" max="3335" width="8.125" style="29" customWidth="1"/>
    <col min="3336" max="3336" width="6.375" style="29" customWidth="1"/>
    <col min="3337" max="3337" width="3" style="29" customWidth="1"/>
    <col min="3338" max="3341" width="3.375" style="29" customWidth="1"/>
    <col min="3342" max="3342" width="1.75" style="29" customWidth="1"/>
    <col min="3343" max="3343" width="3.875" style="29" customWidth="1"/>
    <col min="3344" max="3344" width="1.5" style="29" customWidth="1"/>
    <col min="3345" max="3348" width="3.375" style="29" customWidth="1"/>
    <col min="3349" max="3584" width="9" style="29"/>
    <col min="3585" max="3585" width="5.375" style="29" customWidth="1"/>
    <col min="3586" max="3586" width="8.25" style="29" customWidth="1"/>
    <col min="3587" max="3587" width="4.625" style="29" customWidth="1"/>
    <col min="3588" max="3588" width="3.5" style="29" customWidth="1"/>
    <col min="3589" max="3589" width="7.25" style="29" customWidth="1"/>
    <col min="3590" max="3590" width="4.375" style="29" customWidth="1"/>
    <col min="3591" max="3591" width="8.125" style="29" customWidth="1"/>
    <col min="3592" max="3592" width="6.375" style="29" customWidth="1"/>
    <col min="3593" max="3593" width="3" style="29" customWidth="1"/>
    <col min="3594" max="3597" width="3.375" style="29" customWidth="1"/>
    <col min="3598" max="3598" width="1.75" style="29" customWidth="1"/>
    <col min="3599" max="3599" width="3.875" style="29" customWidth="1"/>
    <col min="3600" max="3600" width="1.5" style="29" customWidth="1"/>
    <col min="3601" max="3604" width="3.375" style="29" customWidth="1"/>
    <col min="3605" max="3840" width="9" style="29"/>
    <col min="3841" max="3841" width="5.375" style="29" customWidth="1"/>
    <col min="3842" max="3842" width="8.25" style="29" customWidth="1"/>
    <col min="3843" max="3843" width="4.625" style="29" customWidth="1"/>
    <col min="3844" max="3844" width="3.5" style="29" customWidth="1"/>
    <col min="3845" max="3845" width="7.25" style="29" customWidth="1"/>
    <col min="3846" max="3846" width="4.375" style="29" customWidth="1"/>
    <col min="3847" max="3847" width="8.125" style="29" customWidth="1"/>
    <col min="3848" max="3848" width="6.375" style="29" customWidth="1"/>
    <col min="3849" max="3849" width="3" style="29" customWidth="1"/>
    <col min="3850" max="3853" width="3.375" style="29" customWidth="1"/>
    <col min="3854" max="3854" width="1.75" style="29" customWidth="1"/>
    <col min="3855" max="3855" width="3.875" style="29" customWidth="1"/>
    <col min="3856" max="3856" width="1.5" style="29" customWidth="1"/>
    <col min="3857" max="3860" width="3.375" style="29" customWidth="1"/>
    <col min="3861" max="4096" width="9" style="29"/>
    <col min="4097" max="4097" width="5.375" style="29" customWidth="1"/>
    <col min="4098" max="4098" width="8.25" style="29" customWidth="1"/>
    <col min="4099" max="4099" width="4.625" style="29" customWidth="1"/>
    <col min="4100" max="4100" width="3.5" style="29" customWidth="1"/>
    <col min="4101" max="4101" width="7.25" style="29" customWidth="1"/>
    <col min="4102" max="4102" width="4.375" style="29" customWidth="1"/>
    <col min="4103" max="4103" width="8.125" style="29" customWidth="1"/>
    <col min="4104" max="4104" width="6.375" style="29" customWidth="1"/>
    <col min="4105" max="4105" width="3" style="29" customWidth="1"/>
    <col min="4106" max="4109" width="3.375" style="29" customWidth="1"/>
    <col min="4110" max="4110" width="1.75" style="29" customWidth="1"/>
    <col min="4111" max="4111" width="3.875" style="29" customWidth="1"/>
    <col min="4112" max="4112" width="1.5" style="29" customWidth="1"/>
    <col min="4113" max="4116" width="3.375" style="29" customWidth="1"/>
    <col min="4117" max="4352" width="9" style="29"/>
    <col min="4353" max="4353" width="5.375" style="29" customWidth="1"/>
    <col min="4354" max="4354" width="8.25" style="29" customWidth="1"/>
    <col min="4355" max="4355" width="4.625" style="29" customWidth="1"/>
    <col min="4356" max="4356" width="3.5" style="29" customWidth="1"/>
    <col min="4357" max="4357" width="7.25" style="29" customWidth="1"/>
    <col min="4358" max="4358" width="4.375" style="29" customWidth="1"/>
    <col min="4359" max="4359" width="8.125" style="29" customWidth="1"/>
    <col min="4360" max="4360" width="6.375" style="29" customWidth="1"/>
    <col min="4361" max="4361" width="3" style="29" customWidth="1"/>
    <col min="4362" max="4365" width="3.375" style="29" customWidth="1"/>
    <col min="4366" max="4366" width="1.75" style="29" customWidth="1"/>
    <col min="4367" max="4367" width="3.875" style="29" customWidth="1"/>
    <col min="4368" max="4368" width="1.5" style="29" customWidth="1"/>
    <col min="4369" max="4372" width="3.375" style="29" customWidth="1"/>
    <col min="4373" max="4608" width="9" style="29"/>
    <col min="4609" max="4609" width="5.375" style="29" customWidth="1"/>
    <col min="4610" max="4610" width="8.25" style="29" customWidth="1"/>
    <col min="4611" max="4611" width="4.625" style="29" customWidth="1"/>
    <col min="4612" max="4612" width="3.5" style="29" customWidth="1"/>
    <col min="4613" max="4613" width="7.25" style="29" customWidth="1"/>
    <col min="4614" max="4614" width="4.375" style="29" customWidth="1"/>
    <col min="4615" max="4615" width="8.125" style="29" customWidth="1"/>
    <col min="4616" max="4616" width="6.375" style="29" customWidth="1"/>
    <col min="4617" max="4617" width="3" style="29" customWidth="1"/>
    <col min="4618" max="4621" width="3.375" style="29" customWidth="1"/>
    <col min="4622" max="4622" width="1.75" style="29" customWidth="1"/>
    <col min="4623" max="4623" width="3.875" style="29" customWidth="1"/>
    <col min="4624" max="4624" width="1.5" style="29" customWidth="1"/>
    <col min="4625" max="4628" width="3.375" style="29" customWidth="1"/>
    <col min="4629" max="4864" width="9" style="29"/>
    <col min="4865" max="4865" width="5.375" style="29" customWidth="1"/>
    <col min="4866" max="4866" width="8.25" style="29" customWidth="1"/>
    <col min="4867" max="4867" width="4.625" style="29" customWidth="1"/>
    <col min="4868" max="4868" width="3.5" style="29" customWidth="1"/>
    <col min="4869" max="4869" width="7.25" style="29" customWidth="1"/>
    <col min="4870" max="4870" width="4.375" style="29" customWidth="1"/>
    <col min="4871" max="4871" width="8.125" style="29" customWidth="1"/>
    <col min="4872" max="4872" width="6.375" style="29" customWidth="1"/>
    <col min="4873" max="4873" width="3" style="29" customWidth="1"/>
    <col min="4874" max="4877" width="3.375" style="29" customWidth="1"/>
    <col min="4878" max="4878" width="1.75" style="29" customWidth="1"/>
    <col min="4879" max="4879" width="3.875" style="29" customWidth="1"/>
    <col min="4880" max="4880" width="1.5" style="29" customWidth="1"/>
    <col min="4881" max="4884" width="3.375" style="29" customWidth="1"/>
    <col min="4885" max="5120" width="9" style="29"/>
    <col min="5121" max="5121" width="5.375" style="29" customWidth="1"/>
    <col min="5122" max="5122" width="8.25" style="29" customWidth="1"/>
    <col min="5123" max="5123" width="4.625" style="29" customWidth="1"/>
    <col min="5124" max="5124" width="3.5" style="29" customWidth="1"/>
    <col min="5125" max="5125" width="7.25" style="29" customWidth="1"/>
    <col min="5126" max="5126" width="4.375" style="29" customWidth="1"/>
    <col min="5127" max="5127" width="8.125" style="29" customWidth="1"/>
    <col min="5128" max="5128" width="6.375" style="29" customWidth="1"/>
    <col min="5129" max="5129" width="3" style="29" customWidth="1"/>
    <col min="5130" max="5133" width="3.375" style="29" customWidth="1"/>
    <col min="5134" max="5134" width="1.75" style="29" customWidth="1"/>
    <col min="5135" max="5135" width="3.875" style="29" customWidth="1"/>
    <col min="5136" max="5136" width="1.5" style="29" customWidth="1"/>
    <col min="5137" max="5140" width="3.375" style="29" customWidth="1"/>
    <col min="5141" max="5376" width="9" style="29"/>
    <col min="5377" max="5377" width="5.375" style="29" customWidth="1"/>
    <col min="5378" max="5378" width="8.25" style="29" customWidth="1"/>
    <col min="5379" max="5379" width="4.625" style="29" customWidth="1"/>
    <col min="5380" max="5380" width="3.5" style="29" customWidth="1"/>
    <col min="5381" max="5381" width="7.25" style="29" customWidth="1"/>
    <col min="5382" max="5382" width="4.375" style="29" customWidth="1"/>
    <col min="5383" max="5383" width="8.125" style="29" customWidth="1"/>
    <col min="5384" max="5384" width="6.375" style="29" customWidth="1"/>
    <col min="5385" max="5385" width="3" style="29" customWidth="1"/>
    <col min="5386" max="5389" width="3.375" style="29" customWidth="1"/>
    <col min="5390" max="5390" width="1.75" style="29" customWidth="1"/>
    <col min="5391" max="5391" width="3.875" style="29" customWidth="1"/>
    <col min="5392" max="5392" width="1.5" style="29" customWidth="1"/>
    <col min="5393" max="5396" width="3.375" style="29" customWidth="1"/>
    <col min="5397" max="5632" width="9" style="29"/>
    <col min="5633" max="5633" width="5.375" style="29" customWidth="1"/>
    <col min="5634" max="5634" width="8.25" style="29" customWidth="1"/>
    <col min="5635" max="5635" width="4.625" style="29" customWidth="1"/>
    <col min="5636" max="5636" width="3.5" style="29" customWidth="1"/>
    <col min="5637" max="5637" width="7.25" style="29" customWidth="1"/>
    <col min="5638" max="5638" width="4.375" style="29" customWidth="1"/>
    <col min="5639" max="5639" width="8.125" style="29" customWidth="1"/>
    <col min="5640" max="5640" width="6.375" style="29" customWidth="1"/>
    <col min="5641" max="5641" width="3" style="29" customWidth="1"/>
    <col min="5642" max="5645" width="3.375" style="29" customWidth="1"/>
    <col min="5646" max="5646" width="1.75" style="29" customWidth="1"/>
    <col min="5647" max="5647" width="3.875" style="29" customWidth="1"/>
    <col min="5648" max="5648" width="1.5" style="29" customWidth="1"/>
    <col min="5649" max="5652" width="3.375" style="29" customWidth="1"/>
    <col min="5653" max="5888" width="9" style="29"/>
    <col min="5889" max="5889" width="5.375" style="29" customWidth="1"/>
    <col min="5890" max="5890" width="8.25" style="29" customWidth="1"/>
    <col min="5891" max="5891" width="4.625" style="29" customWidth="1"/>
    <col min="5892" max="5892" width="3.5" style="29" customWidth="1"/>
    <col min="5893" max="5893" width="7.25" style="29" customWidth="1"/>
    <col min="5894" max="5894" width="4.375" style="29" customWidth="1"/>
    <col min="5895" max="5895" width="8.125" style="29" customWidth="1"/>
    <col min="5896" max="5896" width="6.375" style="29" customWidth="1"/>
    <col min="5897" max="5897" width="3" style="29" customWidth="1"/>
    <col min="5898" max="5901" width="3.375" style="29" customWidth="1"/>
    <col min="5902" max="5902" width="1.75" style="29" customWidth="1"/>
    <col min="5903" max="5903" width="3.875" style="29" customWidth="1"/>
    <col min="5904" max="5904" width="1.5" style="29" customWidth="1"/>
    <col min="5905" max="5908" width="3.375" style="29" customWidth="1"/>
    <col min="5909" max="6144" width="9" style="29"/>
    <col min="6145" max="6145" width="5.375" style="29" customWidth="1"/>
    <col min="6146" max="6146" width="8.25" style="29" customWidth="1"/>
    <col min="6147" max="6147" width="4.625" style="29" customWidth="1"/>
    <col min="6148" max="6148" width="3.5" style="29" customWidth="1"/>
    <col min="6149" max="6149" width="7.25" style="29" customWidth="1"/>
    <col min="6150" max="6150" width="4.375" style="29" customWidth="1"/>
    <col min="6151" max="6151" width="8.125" style="29" customWidth="1"/>
    <col min="6152" max="6152" width="6.375" style="29" customWidth="1"/>
    <col min="6153" max="6153" width="3" style="29" customWidth="1"/>
    <col min="6154" max="6157" width="3.375" style="29" customWidth="1"/>
    <col min="6158" max="6158" width="1.75" style="29" customWidth="1"/>
    <col min="6159" max="6159" width="3.875" style="29" customWidth="1"/>
    <col min="6160" max="6160" width="1.5" style="29" customWidth="1"/>
    <col min="6161" max="6164" width="3.375" style="29" customWidth="1"/>
    <col min="6165" max="6400" width="9" style="29"/>
    <col min="6401" max="6401" width="5.375" style="29" customWidth="1"/>
    <col min="6402" max="6402" width="8.25" style="29" customWidth="1"/>
    <col min="6403" max="6403" width="4.625" style="29" customWidth="1"/>
    <col min="6404" max="6404" width="3.5" style="29" customWidth="1"/>
    <col min="6405" max="6405" width="7.25" style="29" customWidth="1"/>
    <col min="6406" max="6406" width="4.375" style="29" customWidth="1"/>
    <col min="6407" max="6407" width="8.125" style="29" customWidth="1"/>
    <col min="6408" max="6408" width="6.375" style="29" customWidth="1"/>
    <col min="6409" max="6409" width="3" style="29" customWidth="1"/>
    <col min="6410" max="6413" width="3.375" style="29" customWidth="1"/>
    <col min="6414" max="6414" width="1.75" style="29" customWidth="1"/>
    <col min="6415" max="6415" width="3.875" style="29" customWidth="1"/>
    <col min="6416" max="6416" width="1.5" style="29" customWidth="1"/>
    <col min="6417" max="6420" width="3.375" style="29" customWidth="1"/>
    <col min="6421" max="6656" width="9" style="29"/>
    <col min="6657" max="6657" width="5.375" style="29" customWidth="1"/>
    <col min="6658" max="6658" width="8.25" style="29" customWidth="1"/>
    <col min="6659" max="6659" width="4.625" style="29" customWidth="1"/>
    <col min="6660" max="6660" width="3.5" style="29" customWidth="1"/>
    <col min="6661" max="6661" width="7.25" style="29" customWidth="1"/>
    <col min="6662" max="6662" width="4.375" style="29" customWidth="1"/>
    <col min="6663" max="6663" width="8.125" style="29" customWidth="1"/>
    <col min="6664" max="6664" width="6.375" style="29" customWidth="1"/>
    <col min="6665" max="6665" width="3" style="29" customWidth="1"/>
    <col min="6666" max="6669" width="3.375" style="29" customWidth="1"/>
    <col min="6670" max="6670" width="1.75" style="29" customWidth="1"/>
    <col min="6671" max="6671" width="3.875" style="29" customWidth="1"/>
    <col min="6672" max="6672" width="1.5" style="29" customWidth="1"/>
    <col min="6673" max="6676" width="3.375" style="29" customWidth="1"/>
    <col min="6677" max="6912" width="9" style="29"/>
    <col min="6913" max="6913" width="5.375" style="29" customWidth="1"/>
    <col min="6914" max="6914" width="8.25" style="29" customWidth="1"/>
    <col min="6915" max="6915" width="4.625" style="29" customWidth="1"/>
    <col min="6916" max="6916" width="3.5" style="29" customWidth="1"/>
    <col min="6917" max="6917" width="7.25" style="29" customWidth="1"/>
    <col min="6918" max="6918" width="4.375" style="29" customWidth="1"/>
    <col min="6919" max="6919" width="8.125" style="29" customWidth="1"/>
    <col min="6920" max="6920" width="6.375" style="29" customWidth="1"/>
    <col min="6921" max="6921" width="3" style="29" customWidth="1"/>
    <col min="6922" max="6925" width="3.375" style="29" customWidth="1"/>
    <col min="6926" max="6926" width="1.75" style="29" customWidth="1"/>
    <col min="6927" max="6927" width="3.875" style="29" customWidth="1"/>
    <col min="6928" max="6928" width="1.5" style="29" customWidth="1"/>
    <col min="6929" max="6932" width="3.375" style="29" customWidth="1"/>
    <col min="6933" max="7168" width="9" style="29"/>
    <col min="7169" max="7169" width="5.375" style="29" customWidth="1"/>
    <col min="7170" max="7170" width="8.25" style="29" customWidth="1"/>
    <col min="7171" max="7171" width="4.625" style="29" customWidth="1"/>
    <col min="7172" max="7172" width="3.5" style="29" customWidth="1"/>
    <col min="7173" max="7173" width="7.25" style="29" customWidth="1"/>
    <col min="7174" max="7174" width="4.375" style="29" customWidth="1"/>
    <col min="7175" max="7175" width="8.125" style="29" customWidth="1"/>
    <col min="7176" max="7176" width="6.375" style="29" customWidth="1"/>
    <col min="7177" max="7177" width="3" style="29" customWidth="1"/>
    <col min="7178" max="7181" width="3.375" style="29" customWidth="1"/>
    <col min="7182" max="7182" width="1.75" style="29" customWidth="1"/>
    <col min="7183" max="7183" width="3.875" style="29" customWidth="1"/>
    <col min="7184" max="7184" width="1.5" style="29" customWidth="1"/>
    <col min="7185" max="7188" width="3.375" style="29" customWidth="1"/>
    <col min="7189" max="7424" width="9" style="29"/>
    <col min="7425" max="7425" width="5.375" style="29" customWidth="1"/>
    <col min="7426" max="7426" width="8.25" style="29" customWidth="1"/>
    <col min="7427" max="7427" width="4.625" style="29" customWidth="1"/>
    <col min="7428" max="7428" width="3.5" style="29" customWidth="1"/>
    <col min="7429" max="7429" width="7.25" style="29" customWidth="1"/>
    <col min="7430" max="7430" width="4.375" style="29" customWidth="1"/>
    <col min="7431" max="7431" width="8.125" style="29" customWidth="1"/>
    <col min="7432" max="7432" width="6.375" style="29" customWidth="1"/>
    <col min="7433" max="7433" width="3" style="29" customWidth="1"/>
    <col min="7434" max="7437" width="3.375" style="29" customWidth="1"/>
    <col min="7438" max="7438" width="1.75" style="29" customWidth="1"/>
    <col min="7439" max="7439" width="3.875" style="29" customWidth="1"/>
    <col min="7440" max="7440" width="1.5" style="29" customWidth="1"/>
    <col min="7441" max="7444" width="3.375" style="29" customWidth="1"/>
    <col min="7445" max="7680" width="9" style="29"/>
    <col min="7681" max="7681" width="5.375" style="29" customWidth="1"/>
    <col min="7682" max="7682" width="8.25" style="29" customWidth="1"/>
    <col min="7683" max="7683" width="4.625" style="29" customWidth="1"/>
    <col min="7684" max="7684" width="3.5" style="29" customWidth="1"/>
    <col min="7685" max="7685" width="7.25" style="29" customWidth="1"/>
    <col min="7686" max="7686" width="4.375" style="29" customWidth="1"/>
    <col min="7687" max="7687" width="8.125" style="29" customWidth="1"/>
    <col min="7688" max="7688" width="6.375" style="29" customWidth="1"/>
    <col min="7689" max="7689" width="3" style="29" customWidth="1"/>
    <col min="7690" max="7693" width="3.375" style="29" customWidth="1"/>
    <col min="7694" max="7694" width="1.75" style="29" customWidth="1"/>
    <col min="7695" max="7695" width="3.875" style="29" customWidth="1"/>
    <col min="7696" max="7696" width="1.5" style="29" customWidth="1"/>
    <col min="7697" max="7700" width="3.375" style="29" customWidth="1"/>
    <col min="7701" max="7936" width="9" style="29"/>
    <col min="7937" max="7937" width="5.375" style="29" customWidth="1"/>
    <col min="7938" max="7938" width="8.25" style="29" customWidth="1"/>
    <col min="7939" max="7939" width="4.625" style="29" customWidth="1"/>
    <col min="7940" max="7940" width="3.5" style="29" customWidth="1"/>
    <col min="7941" max="7941" width="7.25" style="29" customWidth="1"/>
    <col min="7942" max="7942" width="4.375" style="29" customWidth="1"/>
    <col min="7943" max="7943" width="8.125" style="29" customWidth="1"/>
    <col min="7944" max="7944" width="6.375" style="29" customWidth="1"/>
    <col min="7945" max="7945" width="3" style="29" customWidth="1"/>
    <col min="7946" max="7949" width="3.375" style="29" customWidth="1"/>
    <col min="7950" max="7950" width="1.75" style="29" customWidth="1"/>
    <col min="7951" max="7951" width="3.875" style="29" customWidth="1"/>
    <col min="7952" max="7952" width="1.5" style="29" customWidth="1"/>
    <col min="7953" max="7956" width="3.375" style="29" customWidth="1"/>
    <col min="7957" max="8192" width="9" style="29"/>
    <col min="8193" max="8193" width="5.375" style="29" customWidth="1"/>
    <col min="8194" max="8194" width="8.25" style="29" customWidth="1"/>
    <col min="8195" max="8195" width="4.625" style="29" customWidth="1"/>
    <col min="8196" max="8196" width="3.5" style="29" customWidth="1"/>
    <col min="8197" max="8197" width="7.25" style="29" customWidth="1"/>
    <col min="8198" max="8198" width="4.375" style="29" customWidth="1"/>
    <col min="8199" max="8199" width="8.125" style="29" customWidth="1"/>
    <col min="8200" max="8200" width="6.375" style="29" customWidth="1"/>
    <col min="8201" max="8201" width="3" style="29" customWidth="1"/>
    <col min="8202" max="8205" width="3.375" style="29" customWidth="1"/>
    <col min="8206" max="8206" width="1.75" style="29" customWidth="1"/>
    <col min="8207" max="8207" width="3.875" style="29" customWidth="1"/>
    <col min="8208" max="8208" width="1.5" style="29" customWidth="1"/>
    <col min="8209" max="8212" width="3.375" style="29" customWidth="1"/>
    <col min="8213" max="8448" width="9" style="29"/>
    <col min="8449" max="8449" width="5.375" style="29" customWidth="1"/>
    <col min="8450" max="8450" width="8.25" style="29" customWidth="1"/>
    <col min="8451" max="8451" width="4.625" style="29" customWidth="1"/>
    <col min="8452" max="8452" width="3.5" style="29" customWidth="1"/>
    <col min="8453" max="8453" width="7.25" style="29" customWidth="1"/>
    <col min="8454" max="8454" width="4.375" style="29" customWidth="1"/>
    <col min="8455" max="8455" width="8.125" style="29" customWidth="1"/>
    <col min="8456" max="8456" width="6.375" style="29" customWidth="1"/>
    <col min="8457" max="8457" width="3" style="29" customWidth="1"/>
    <col min="8458" max="8461" width="3.375" style="29" customWidth="1"/>
    <col min="8462" max="8462" width="1.75" style="29" customWidth="1"/>
    <col min="8463" max="8463" width="3.875" style="29" customWidth="1"/>
    <col min="8464" max="8464" width="1.5" style="29" customWidth="1"/>
    <col min="8465" max="8468" width="3.375" style="29" customWidth="1"/>
    <col min="8469" max="8704" width="9" style="29"/>
    <col min="8705" max="8705" width="5.375" style="29" customWidth="1"/>
    <col min="8706" max="8706" width="8.25" style="29" customWidth="1"/>
    <col min="8707" max="8707" width="4.625" style="29" customWidth="1"/>
    <col min="8708" max="8708" width="3.5" style="29" customWidth="1"/>
    <col min="8709" max="8709" width="7.25" style="29" customWidth="1"/>
    <col min="8710" max="8710" width="4.375" style="29" customWidth="1"/>
    <col min="8711" max="8711" width="8.125" style="29" customWidth="1"/>
    <col min="8712" max="8712" width="6.375" style="29" customWidth="1"/>
    <col min="8713" max="8713" width="3" style="29" customWidth="1"/>
    <col min="8714" max="8717" width="3.375" style="29" customWidth="1"/>
    <col min="8718" max="8718" width="1.75" style="29" customWidth="1"/>
    <col min="8719" max="8719" width="3.875" style="29" customWidth="1"/>
    <col min="8720" max="8720" width="1.5" style="29" customWidth="1"/>
    <col min="8721" max="8724" width="3.375" style="29" customWidth="1"/>
    <col min="8725" max="8960" width="9" style="29"/>
    <col min="8961" max="8961" width="5.375" style="29" customWidth="1"/>
    <col min="8962" max="8962" width="8.25" style="29" customWidth="1"/>
    <col min="8963" max="8963" width="4.625" style="29" customWidth="1"/>
    <col min="8964" max="8964" width="3.5" style="29" customWidth="1"/>
    <col min="8965" max="8965" width="7.25" style="29" customWidth="1"/>
    <col min="8966" max="8966" width="4.375" style="29" customWidth="1"/>
    <col min="8967" max="8967" width="8.125" style="29" customWidth="1"/>
    <col min="8968" max="8968" width="6.375" style="29" customWidth="1"/>
    <col min="8969" max="8969" width="3" style="29" customWidth="1"/>
    <col min="8970" max="8973" width="3.375" style="29" customWidth="1"/>
    <col min="8974" max="8974" width="1.75" style="29" customWidth="1"/>
    <col min="8975" max="8975" width="3.875" style="29" customWidth="1"/>
    <col min="8976" max="8976" width="1.5" style="29" customWidth="1"/>
    <col min="8977" max="8980" width="3.375" style="29" customWidth="1"/>
    <col min="8981" max="9216" width="9" style="29"/>
    <col min="9217" max="9217" width="5.375" style="29" customWidth="1"/>
    <col min="9218" max="9218" width="8.25" style="29" customWidth="1"/>
    <col min="9219" max="9219" width="4.625" style="29" customWidth="1"/>
    <col min="9220" max="9220" width="3.5" style="29" customWidth="1"/>
    <col min="9221" max="9221" width="7.25" style="29" customWidth="1"/>
    <col min="9222" max="9222" width="4.375" style="29" customWidth="1"/>
    <col min="9223" max="9223" width="8.125" style="29" customWidth="1"/>
    <col min="9224" max="9224" width="6.375" style="29" customWidth="1"/>
    <col min="9225" max="9225" width="3" style="29" customWidth="1"/>
    <col min="9226" max="9229" width="3.375" style="29" customWidth="1"/>
    <col min="9230" max="9230" width="1.75" style="29" customWidth="1"/>
    <col min="9231" max="9231" width="3.875" style="29" customWidth="1"/>
    <col min="9232" max="9232" width="1.5" style="29" customWidth="1"/>
    <col min="9233" max="9236" width="3.375" style="29" customWidth="1"/>
    <col min="9237" max="9472" width="9" style="29"/>
    <col min="9473" max="9473" width="5.375" style="29" customWidth="1"/>
    <col min="9474" max="9474" width="8.25" style="29" customWidth="1"/>
    <col min="9475" max="9475" width="4.625" style="29" customWidth="1"/>
    <col min="9476" max="9476" width="3.5" style="29" customWidth="1"/>
    <col min="9477" max="9477" width="7.25" style="29" customWidth="1"/>
    <col min="9478" max="9478" width="4.375" style="29" customWidth="1"/>
    <col min="9479" max="9479" width="8.125" style="29" customWidth="1"/>
    <col min="9480" max="9480" width="6.375" style="29" customWidth="1"/>
    <col min="9481" max="9481" width="3" style="29" customWidth="1"/>
    <col min="9482" max="9485" width="3.375" style="29" customWidth="1"/>
    <col min="9486" max="9486" width="1.75" style="29" customWidth="1"/>
    <col min="9487" max="9487" width="3.875" style="29" customWidth="1"/>
    <col min="9488" max="9488" width="1.5" style="29" customWidth="1"/>
    <col min="9489" max="9492" width="3.375" style="29" customWidth="1"/>
    <col min="9493" max="9728" width="9" style="29"/>
    <col min="9729" max="9729" width="5.375" style="29" customWidth="1"/>
    <col min="9730" max="9730" width="8.25" style="29" customWidth="1"/>
    <col min="9731" max="9731" width="4.625" style="29" customWidth="1"/>
    <col min="9732" max="9732" width="3.5" style="29" customWidth="1"/>
    <col min="9733" max="9733" width="7.25" style="29" customWidth="1"/>
    <col min="9734" max="9734" width="4.375" style="29" customWidth="1"/>
    <col min="9735" max="9735" width="8.125" style="29" customWidth="1"/>
    <col min="9736" max="9736" width="6.375" style="29" customWidth="1"/>
    <col min="9737" max="9737" width="3" style="29" customWidth="1"/>
    <col min="9738" max="9741" width="3.375" style="29" customWidth="1"/>
    <col min="9742" max="9742" width="1.75" style="29" customWidth="1"/>
    <col min="9743" max="9743" width="3.875" style="29" customWidth="1"/>
    <col min="9744" max="9744" width="1.5" style="29" customWidth="1"/>
    <col min="9745" max="9748" width="3.375" style="29" customWidth="1"/>
    <col min="9749" max="9984" width="9" style="29"/>
    <col min="9985" max="9985" width="5.375" style="29" customWidth="1"/>
    <col min="9986" max="9986" width="8.25" style="29" customWidth="1"/>
    <col min="9987" max="9987" width="4.625" style="29" customWidth="1"/>
    <col min="9988" max="9988" width="3.5" style="29" customWidth="1"/>
    <col min="9989" max="9989" width="7.25" style="29" customWidth="1"/>
    <col min="9990" max="9990" width="4.375" style="29" customWidth="1"/>
    <col min="9991" max="9991" width="8.125" style="29" customWidth="1"/>
    <col min="9992" max="9992" width="6.375" style="29" customWidth="1"/>
    <col min="9993" max="9993" width="3" style="29" customWidth="1"/>
    <col min="9994" max="9997" width="3.375" style="29" customWidth="1"/>
    <col min="9998" max="9998" width="1.75" style="29" customWidth="1"/>
    <col min="9999" max="9999" width="3.875" style="29" customWidth="1"/>
    <col min="10000" max="10000" width="1.5" style="29" customWidth="1"/>
    <col min="10001" max="10004" width="3.375" style="29" customWidth="1"/>
    <col min="10005" max="10240" width="9" style="29"/>
    <col min="10241" max="10241" width="5.375" style="29" customWidth="1"/>
    <col min="10242" max="10242" width="8.25" style="29" customWidth="1"/>
    <col min="10243" max="10243" width="4.625" style="29" customWidth="1"/>
    <col min="10244" max="10244" width="3.5" style="29" customWidth="1"/>
    <col min="10245" max="10245" width="7.25" style="29" customWidth="1"/>
    <col min="10246" max="10246" width="4.375" style="29" customWidth="1"/>
    <col min="10247" max="10247" width="8.125" style="29" customWidth="1"/>
    <col min="10248" max="10248" width="6.375" style="29" customWidth="1"/>
    <col min="10249" max="10249" width="3" style="29" customWidth="1"/>
    <col min="10250" max="10253" width="3.375" style="29" customWidth="1"/>
    <col min="10254" max="10254" width="1.75" style="29" customWidth="1"/>
    <col min="10255" max="10255" width="3.875" style="29" customWidth="1"/>
    <col min="10256" max="10256" width="1.5" style="29" customWidth="1"/>
    <col min="10257" max="10260" width="3.375" style="29" customWidth="1"/>
    <col min="10261" max="10496" width="9" style="29"/>
    <col min="10497" max="10497" width="5.375" style="29" customWidth="1"/>
    <col min="10498" max="10498" width="8.25" style="29" customWidth="1"/>
    <col min="10499" max="10499" width="4.625" style="29" customWidth="1"/>
    <col min="10500" max="10500" width="3.5" style="29" customWidth="1"/>
    <col min="10501" max="10501" width="7.25" style="29" customWidth="1"/>
    <col min="10502" max="10502" width="4.375" style="29" customWidth="1"/>
    <col min="10503" max="10503" width="8.125" style="29" customWidth="1"/>
    <col min="10504" max="10504" width="6.375" style="29" customWidth="1"/>
    <col min="10505" max="10505" width="3" style="29" customWidth="1"/>
    <col min="10506" max="10509" width="3.375" style="29" customWidth="1"/>
    <col min="10510" max="10510" width="1.75" style="29" customWidth="1"/>
    <col min="10511" max="10511" width="3.875" style="29" customWidth="1"/>
    <col min="10512" max="10512" width="1.5" style="29" customWidth="1"/>
    <col min="10513" max="10516" width="3.375" style="29" customWidth="1"/>
    <col min="10517" max="10752" width="9" style="29"/>
    <col min="10753" max="10753" width="5.375" style="29" customWidth="1"/>
    <col min="10754" max="10754" width="8.25" style="29" customWidth="1"/>
    <col min="10755" max="10755" width="4.625" style="29" customWidth="1"/>
    <col min="10756" max="10756" width="3.5" style="29" customWidth="1"/>
    <col min="10757" max="10757" width="7.25" style="29" customWidth="1"/>
    <col min="10758" max="10758" width="4.375" style="29" customWidth="1"/>
    <col min="10759" max="10759" width="8.125" style="29" customWidth="1"/>
    <col min="10760" max="10760" width="6.375" style="29" customWidth="1"/>
    <col min="10761" max="10761" width="3" style="29" customWidth="1"/>
    <col min="10762" max="10765" width="3.375" style="29" customWidth="1"/>
    <col min="10766" max="10766" width="1.75" style="29" customWidth="1"/>
    <col min="10767" max="10767" width="3.875" style="29" customWidth="1"/>
    <col min="10768" max="10768" width="1.5" style="29" customWidth="1"/>
    <col min="10769" max="10772" width="3.375" style="29" customWidth="1"/>
    <col min="10773" max="11008" width="9" style="29"/>
    <col min="11009" max="11009" width="5.375" style="29" customWidth="1"/>
    <col min="11010" max="11010" width="8.25" style="29" customWidth="1"/>
    <col min="11011" max="11011" width="4.625" style="29" customWidth="1"/>
    <col min="11012" max="11012" width="3.5" style="29" customWidth="1"/>
    <col min="11013" max="11013" width="7.25" style="29" customWidth="1"/>
    <col min="11014" max="11014" width="4.375" style="29" customWidth="1"/>
    <col min="11015" max="11015" width="8.125" style="29" customWidth="1"/>
    <col min="11016" max="11016" width="6.375" style="29" customWidth="1"/>
    <col min="11017" max="11017" width="3" style="29" customWidth="1"/>
    <col min="11018" max="11021" width="3.375" style="29" customWidth="1"/>
    <col min="11022" max="11022" width="1.75" style="29" customWidth="1"/>
    <col min="11023" max="11023" width="3.875" style="29" customWidth="1"/>
    <col min="11024" max="11024" width="1.5" style="29" customWidth="1"/>
    <col min="11025" max="11028" width="3.375" style="29" customWidth="1"/>
    <col min="11029" max="11264" width="9" style="29"/>
    <col min="11265" max="11265" width="5.375" style="29" customWidth="1"/>
    <col min="11266" max="11266" width="8.25" style="29" customWidth="1"/>
    <col min="11267" max="11267" width="4.625" style="29" customWidth="1"/>
    <col min="11268" max="11268" width="3.5" style="29" customWidth="1"/>
    <col min="11269" max="11269" width="7.25" style="29" customWidth="1"/>
    <col min="11270" max="11270" width="4.375" style="29" customWidth="1"/>
    <col min="11271" max="11271" width="8.125" style="29" customWidth="1"/>
    <col min="11272" max="11272" width="6.375" style="29" customWidth="1"/>
    <col min="11273" max="11273" width="3" style="29" customWidth="1"/>
    <col min="11274" max="11277" width="3.375" style="29" customWidth="1"/>
    <col min="11278" max="11278" width="1.75" style="29" customWidth="1"/>
    <col min="11279" max="11279" width="3.875" style="29" customWidth="1"/>
    <col min="11280" max="11280" width="1.5" style="29" customWidth="1"/>
    <col min="11281" max="11284" width="3.375" style="29" customWidth="1"/>
    <col min="11285" max="11520" width="9" style="29"/>
    <col min="11521" max="11521" width="5.375" style="29" customWidth="1"/>
    <col min="11522" max="11522" width="8.25" style="29" customWidth="1"/>
    <col min="11523" max="11523" width="4.625" style="29" customWidth="1"/>
    <col min="11524" max="11524" width="3.5" style="29" customWidth="1"/>
    <col min="11525" max="11525" width="7.25" style="29" customWidth="1"/>
    <col min="11526" max="11526" width="4.375" style="29" customWidth="1"/>
    <col min="11527" max="11527" width="8.125" style="29" customWidth="1"/>
    <col min="11528" max="11528" width="6.375" style="29" customWidth="1"/>
    <col min="11529" max="11529" width="3" style="29" customWidth="1"/>
    <col min="11530" max="11533" width="3.375" style="29" customWidth="1"/>
    <col min="11534" max="11534" width="1.75" style="29" customWidth="1"/>
    <col min="11535" max="11535" width="3.875" style="29" customWidth="1"/>
    <col min="11536" max="11536" width="1.5" style="29" customWidth="1"/>
    <col min="11537" max="11540" width="3.375" style="29" customWidth="1"/>
    <col min="11541" max="11776" width="9" style="29"/>
    <col min="11777" max="11777" width="5.375" style="29" customWidth="1"/>
    <col min="11778" max="11778" width="8.25" style="29" customWidth="1"/>
    <col min="11779" max="11779" width="4.625" style="29" customWidth="1"/>
    <col min="11780" max="11780" width="3.5" style="29" customWidth="1"/>
    <col min="11781" max="11781" width="7.25" style="29" customWidth="1"/>
    <col min="11782" max="11782" width="4.375" style="29" customWidth="1"/>
    <col min="11783" max="11783" width="8.125" style="29" customWidth="1"/>
    <col min="11784" max="11784" width="6.375" style="29" customWidth="1"/>
    <col min="11785" max="11785" width="3" style="29" customWidth="1"/>
    <col min="11786" max="11789" width="3.375" style="29" customWidth="1"/>
    <col min="11790" max="11790" width="1.75" style="29" customWidth="1"/>
    <col min="11791" max="11791" width="3.875" style="29" customWidth="1"/>
    <col min="11792" max="11792" width="1.5" style="29" customWidth="1"/>
    <col min="11793" max="11796" width="3.375" style="29" customWidth="1"/>
    <col min="11797" max="12032" width="9" style="29"/>
    <col min="12033" max="12033" width="5.375" style="29" customWidth="1"/>
    <col min="12034" max="12034" width="8.25" style="29" customWidth="1"/>
    <col min="12035" max="12035" width="4.625" style="29" customWidth="1"/>
    <col min="12036" max="12036" width="3.5" style="29" customWidth="1"/>
    <col min="12037" max="12037" width="7.25" style="29" customWidth="1"/>
    <col min="12038" max="12038" width="4.375" style="29" customWidth="1"/>
    <col min="12039" max="12039" width="8.125" style="29" customWidth="1"/>
    <col min="12040" max="12040" width="6.375" style="29" customWidth="1"/>
    <col min="12041" max="12041" width="3" style="29" customWidth="1"/>
    <col min="12042" max="12045" width="3.375" style="29" customWidth="1"/>
    <col min="12046" max="12046" width="1.75" style="29" customWidth="1"/>
    <col min="12047" max="12047" width="3.875" style="29" customWidth="1"/>
    <col min="12048" max="12048" width="1.5" style="29" customWidth="1"/>
    <col min="12049" max="12052" width="3.375" style="29" customWidth="1"/>
    <col min="12053" max="12288" width="9" style="29"/>
    <col min="12289" max="12289" width="5.375" style="29" customWidth="1"/>
    <col min="12290" max="12290" width="8.25" style="29" customWidth="1"/>
    <col min="12291" max="12291" width="4.625" style="29" customWidth="1"/>
    <col min="12292" max="12292" width="3.5" style="29" customWidth="1"/>
    <col min="12293" max="12293" width="7.25" style="29" customWidth="1"/>
    <col min="12294" max="12294" width="4.375" style="29" customWidth="1"/>
    <col min="12295" max="12295" width="8.125" style="29" customWidth="1"/>
    <col min="12296" max="12296" width="6.375" style="29" customWidth="1"/>
    <col min="12297" max="12297" width="3" style="29" customWidth="1"/>
    <col min="12298" max="12301" width="3.375" style="29" customWidth="1"/>
    <col min="12302" max="12302" width="1.75" style="29" customWidth="1"/>
    <col min="12303" max="12303" width="3.875" style="29" customWidth="1"/>
    <col min="12304" max="12304" width="1.5" style="29" customWidth="1"/>
    <col min="12305" max="12308" width="3.375" style="29" customWidth="1"/>
    <col min="12309" max="12544" width="9" style="29"/>
    <col min="12545" max="12545" width="5.375" style="29" customWidth="1"/>
    <col min="12546" max="12546" width="8.25" style="29" customWidth="1"/>
    <col min="12547" max="12547" width="4.625" style="29" customWidth="1"/>
    <col min="12548" max="12548" width="3.5" style="29" customWidth="1"/>
    <col min="12549" max="12549" width="7.25" style="29" customWidth="1"/>
    <col min="12550" max="12550" width="4.375" style="29" customWidth="1"/>
    <col min="12551" max="12551" width="8.125" style="29" customWidth="1"/>
    <col min="12552" max="12552" width="6.375" style="29" customWidth="1"/>
    <col min="12553" max="12553" width="3" style="29" customWidth="1"/>
    <col min="12554" max="12557" width="3.375" style="29" customWidth="1"/>
    <col min="12558" max="12558" width="1.75" style="29" customWidth="1"/>
    <col min="12559" max="12559" width="3.875" style="29" customWidth="1"/>
    <col min="12560" max="12560" width="1.5" style="29" customWidth="1"/>
    <col min="12561" max="12564" width="3.375" style="29" customWidth="1"/>
    <col min="12565" max="12800" width="9" style="29"/>
    <col min="12801" max="12801" width="5.375" style="29" customWidth="1"/>
    <col min="12802" max="12802" width="8.25" style="29" customWidth="1"/>
    <col min="12803" max="12803" width="4.625" style="29" customWidth="1"/>
    <col min="12804" max="12804" width="3.5" style="29" customWidth="1"/>
    <col min="12805" max="12805" width="7.25" style="29" customWidth="1"/>
    <col min="12806" max="12806" width="4.375" style="29" customWidth="1"/>
    <col min="12807" max="12807" width="8.125" style="29" customWidth="1"/>
    <col min="12808" max="12808" width="6.375" style="29" customWidth="1"/>
    <col min="12809" max="12809" width="3" style="29" customWidth="1"/>
    <col min="12810" max="12813" width="3.375" style="29" customWidth="1"/>
    <col min="12814" max="12814" width="1.75" style="29" customWidth="1"/>
    <col min="12815" max="12815" width="3.875" style="29" customWidth="1"/>
    <col min="12816" max="12816" width="1.5" style="29" customWidth="1"/>
    <col min="12817" max="12820" width="3.375" style="29" customWidth="1"/>
    <col min="12821" max="13056" width="9" style="29"/>
    <col min="13057" max="13057" width="5.375" style="29" customWidth="1"/>
    <col min="13058" max="13058" width="8.25" style="29" customWidth="1"/>
    <col min="13059" max="13059" width="4.625" style="29" customWidth="1"/>
    <col min="13060" max="13060" width="3.5" style="29" customWidth="1"/>
    <col min="13061" max="13061" width="7.25" style="29" customWidth="1"/>
    <col min="13062" max="13062" width="4.375" style="29" customWidth="1"/>
    <col min="13063" max="13063" width="8.125" style="29" customWidth="1"/>
    <col min="13064" max="13064" width="6.375" style="29" customWidth="1"/>
    <col min="13065" max="13065" width="3" style="29" customWidth="1"/>
    <col min="13066" max="13069" width="3.375" style="29" customWidth="1"/>
    <col min="13070" max="13070" width="1.75" style="29" customWidth="1"/>
    <col min="13071" max="13071" width="3.875" style="29" customWidth="1"/>
    <col min="13072" max="13072" width="1.5" style="29" customWidth="1"/>
    <col min="13073" max="13076" width="3.375" style="29" customWidth="1"/>
    <col min="13077" max="13312" width="9" style="29"/>
    <col min="13313" max="13313" width="5.375" style="29" customWidth="1"/>
    <col min="13314" max="13314" width="8.25" style="29" customWidth="1"/>
    <col min="13315" max="13315" width="4.625" style="29" customWidth="1"/>
    <col min="13316" max="13316" width="3.5" style="29" customWidth="1"/>
    <col min="13317" max="13317" width="7.25" style="29" customWidth="1"/>
    <col min="13318" max="13318" width="4.375" style="29" customWidth="1"/>
    <col min="13319" max="13319" width="8.125" style="29" customWidth="1"/>
    <col min="13320" max="13320" width="6.375" style="29" customWidth="1"/>
    <col min="13321" max="13321" width="3" style="29" customWidth="1"/>
    <col min="13322" max="13325" width="3.375" style="29" customWidth="1"/>
    <col min="13326" max="13326" width="1.75" style="29" customWidth="1"/>
    <col min="13327" max="13327" width="3.875" style="29" customWidth="1"/>
    <col min="13328" max="13328" width="1.5" style="29" customWidth="1"/>
    <col min="13329" max="13332" width="3.375" style="29" customWidth="1"/>
    <col min="13333" max="13568" width="9" style="29"/>
    <col min="13569" max="13569" width="5.375" style="29" customWidth="1"/>
    <col min="13570" max="13570" width="8.25" style="29" customWidth="1"/>
    <col min="13571" max="13571" width="4.625" style="29" customWidth="1"/>
    <col min="13572" max="13572" width="3.5" style="29" customWidth="1"/>
    <col min="13573" max="13573" width="7.25" style="29" customWidth="1"/>
    <col min="13574" max="13574" width="4.375" style="29" customWidth="1"/>
    <col min="13575" max="13575" width="8.125" style="29" customWidth="1"/>
    <col min="13576" max="13576" width="6.375" style="29" customWidth="1"/>
    <col min="13577" max="13577" width="3" style="29" customWidth="1"/>
    <col min="13578" max="13581" width="3.375" style="29" customWidth="1"/>
    <col min="13582" max="13582" width="1.75" style="29" customWidth="1"/>
    <col min="13583" max="13583" width="3.875" style="29" customWidth="1"/>
    <col min="13584" max="13584" width="1.5" style="29" customWidth="1"/>
    <col min="13585" max="13588" width="3.375" style="29" customWidth="1"/>
    <col min="13589" max="13824" width="9" style="29"/>
    <col min="13825" max="13825" width="5.375" style="29" customWidth="1"/>
    <col min="13826" max="13826" width="8.25" style="29" customWidth="1"/>
    <col min="13827" max="13827" width="4.625" style="29" customWidth="1"/>
    <col min="13828" max="13828" width="3.5" style="29" customWidth="1"/>
    <col min="13829" max="13829" width="7.25" style="29" customWidth="1"/>
    <col min="13830" max="13830" width="4.375" style="29" customWidth="1"/>
    <col min="13831" max="13831" width="8.125" style="29" customWidth="1"/>
    <col min="13832" max="13832" width="6.375" style="29" customWidth="1"/>
    <col min="13833" max="13833" width="3" style="29" customWidth="1"/>
    <col min="13834" max="13837" width="3.375" style="29" customWidth="1"/>
    <col min="13838" max="13838" width="1.75" style="29" customWidth="1"/>
    <col min="13839" max="13839" width="3.875" style="29" customWidth="1"/>
    <col min="13840" max="13840" width="1.5" style="29" customWidth="1"/>
    <col min="13841" max="13844" width="3.375" style="29" customWidth="1"/>
    <col min="13845" max="14080" width="9" style="29"/>
    <col min="14081" max="14081" width="5.375" style="29" customWidth="1"/>
    <col min="14082" max="14082" width="8.25" style="29" customWidth="1"/>
    <col min="14083" max="14083" width="4.625" style="29" customWidth="1"/>
    <col min="14084" max="14084" width="3.5" style="29" customWidth="1"/>
    <col min="14085" max="14085" width="7.25" style="29" customWidth="1"/>
    <col min="14086" max="14086" width="4.375" style="29" customWidth="1"/>
    <col min="14087" max="14087" width="8.125" style="29" customWidth="1"/>
    <col min="14088" max="14088" width="6.375" style="29" customWidth="1"/>
    <col min="14089" max="14089" width="3" style="29" customWidth="1"/>
    <col min="14090" max="14093" width="3.375" style="29" customWidth="1"/>
    <col min="14094" max="14094" width="1.75" style="29" customWidth="1"/>
    <col min="14095" max="14095" width="3.875" style="29" customWidth="1"/>
    <col min="14096" max="14096" width="1.5" style="29" customWidth="1"/>
    <col min="14097" max="14100" width="3.375" style="29" customWidth="1"/>
    <col min="14101" max="14336" width="9" style="29"/>
    <col min="14337" max="14337" width="5.375" style="29" customWidth="1"/>
    <col min="14338" max="14338" width="8.25" style="29" customWidth="1"/>
    <col min="14339" max="14339" width="4.625" style="29" customWidth="1"/>
    <col min="14340" max="14340" width="3.5" style="29" customWidth="1"/>
    <col min="14341" max="14341" width="7.25" style="29" customWidth="1"/>
    <col min="14342" max="14342" width="4.375" style="29" customWidth="1"/>
    <col min="14343" max="14343" width="8.125" style="29" customWidth="1"/>
    <col min="14344" max="14344" width="6.375" style="29" customWidth="1"/>
    <col min="14345" max="14345" width="3" style="29" customWidth="1"/>
    <col min="14346" max="14349" width="3.375" style="29" customWidth="1"/>
    <col min="14350" max="14350" width="1.75" style="29" customWidth="1"/>
    <col min="14351" max="14351" width="3.875" style="29" customWidth="1"/>
    <col min="14352" max="14352" width="1.5" style="29" customWidth="1"/>
    <col min="14353" max="14356" width="3.375" style="29" customWidth="1"/>
    <col min="14357" max="14592" width="9" style="29"/>
    <col min="14593" max="14593" width="5.375" style="29" customWidth="1"/>
    <col min="14594" max="14594" width="8.25" style="29" customWidth="1"/>
    <col min="14595" max="14595" width="4.625" style="29" customWidth="1"/>
    <col min="14596" max="14596" width="3.5" style="29" customWidth="1"/>
    <col min="14597" max="14597" width="7.25" style="29" customWidth="1"/>
    <col min="14598" max="14598" width="4.375" style="29" customWidth="1"/>
    <col min="14599" max="14599" width="8.125" style="29" customWidth="1"/>
    <col min="14600" max="14600" width="6.375" style="29" customWidth="1"/>
    <col min="14601" max="14601" width="3" style="29" customWidth="1"/>
    <col min="14602" max="14605" width="3.375" style="29" customWidth="1"/>
    <col min="14606" max="14606" width="1.75" style="29" customWidth="1"/>
    <col min="14607" max="14607" width="3.875" style="29" customWidth="1"/>
    <col min="14608" max="14608" width="1.5" style="29" customWidth="1"/>
    <col min="14609" max="14612" width="3.375" style="29" customWidth="1"/>
    <col min="14613" max="14848" width="9" style="29"/>
    <col min="14849" max="14849" width="5.375" style="29" customWidth="1"/>
    <col min="14850" max="14850" width="8.25" style="29" customWidth="1"/>
    <col min="14851" max="14851" width="4.625" style="29" customWidth="1"/>
    <col min="14852" max="14852" width="3.5" style="29" customWidth="1"/>
    <col min="14853" max="14853" width="7.25" style="29" customWidth="1"/>
    <col min="14854" max="14854" width="4.375" style="29" customWidth="1"/>
    <col min="14855" max="14855" width="8.125" style="29" customWidth="1"/>
    <col min="14856" max="14856" width="6.375" style="29" customWidth="1"/>
    <col min="14857" max="14857" width="3" style="29" customWidth="1"/>
    <col min="14858" max="14861" width="3.375" style="29" customWidth="1"/>
    <col min="14862" max="14862" width="1.75" style="29" customWidth="1"/>
    <col min="14863" max="14863" width="3.875" style="29" customWidth="1"/>
    <col min="14864" max="14864" width="1.5" style="29" customWidth="1"/>
    <col min="14865" max="14868" width="3.375" style="29" customWidth="1"/>
    <col min="14869" max="15104" width="9" style="29"/>
    <col min="15105" max="15105" width="5.375" style="29" customWidth="1"/>
    <col min="15106" max="15106" width="8.25" style="29" customWidth="1"/>
    <col min="15107" max="15107" width="4.625" style="29" customWidth="1"/>
    <col min="15108" max="15108" width="3.5" style="29" customWidth="1"/>
    <col min="15109" max="15109" width="7.25" style="29" customWidth="1"/>
    <col min="15110" max="15110" width="4.375" style="29" customWidth="1"/>
    <col min="15111" max="15111" width="8.125" style="29" customWidth="1"/>
    <col min="15112" max="15112" width="6.375" style="29" customWidth="1"/>
    <col min="15113" max="15113" width="3" style="29" customWidth="1"/>
    <col min="15114" max="15117" width="3.375" style="29" customWidth="1"/>
    <col min="15118" max="15118" width="1.75" style="29" customWidth="1"/>
    <col min="15119" max="15119" width="3.875" style="29" customWidth="1"/>
    <col min="15120" max="15120" width="1.5" style="29" customWidth="1"/>
    <col min="15121" max="15124" width="3.375" style="29" customWidth="1"/>
    <col min="15125" max="15360" width="9" style="29"/>
    <col min="15361" max="15361" width="5.375" style="29" customWidth="1"/>
    <col min="15362" max="15362" width="8.25" style="29" customWidth="1"/>
    <col min="15363" max="15363" width="4.625" style="29" customWidth="1"/>
    <col min="15364" max="15364" width="3.5" style="29" customWidth="1"/>
    <col min="15365" max="15365" width="7.25" style="29" customWidth="1"/>
    <col min="15366" max="15366" width="4.375" style="29" customWidth="1"/>
    <col min="15367" max="15367" width="8.125" style="29" customWidth="1"/>
    <col min="15368" max="15368" width="6.375" style="29" customWidth="1"/>
    <col min="15369" max="15369" width="3" style="29" customWidth="1"/>
    <col min="15370" max="15373" width="3.375" style="29" customWidth="1"/>
    <col min="15374" max="15374" width="1.75" style="29" customWidth="1"/>
    <col min="15375" max="15375" width="3.875" style="29" customWidth="1"/>
    <col min="15376" max="15376" width="1.5" style="29" customWidth="1"/>
    <col min="15377" max="15380" width="3.375" style="29" customWidth="1"/>
    <col min="15381" max="15616" width="9" style="29"/>
    <col min="15617" max="15617" width="5.375" style="29" customWidth="1"/>
    <col min="15618" max="15618" width="8.25" style="29" customWidth="1"/>
    <col min="15619" max="15619" width="4.625" style="29" customWidth="1"/>
    <col min="15620" max="15620" width="3.5" style="29" customWidth="1"/>
    <col min="15621" max="15621" width="7.25" style="29" customWidth="1"/>
    <col min="15622" max="15622" width="4.375" style="29" customWidth="1"/>
    <col min="15623" max="15623" width="8.125" style="29" customWidth="1"/>
    <col min="15624" max="15624" width="6.375" style="29" customWidth="1"/>
    <col min="15625" max="15625" width="3" style="29" customWidth="1"/>
    <col min="15626" max="15629" width="3.375" style="29" customWidth="1"/>
    <col min="15630" max="15630" width="1.75" style="29" customWidth="1"/>
    <col min="15631" max="15631" width="3.875" style="29" customWidth="1"/>
    <col min="15632" max="15632" width="1.5" style="29" customWidth="1"/>
    <col min="15633" max="15636" width="3.375" style="29" customWidth="1"/>
    <col min="15637" max="15872" width="9" style="29"/>
    <col min="15873" max="15873" width="5.375" style="29" customWidth="1"/>
    <col min="15874" max="15874" width="8.25" style="29" customWidth="1"/>
    <col min="15875" max="15875" width="4.625" style="29" customWidth="1"/>
    <col min="15876" max="15876" width="3.5" style="29" customWidth="1"/>
    <col min="15877" max="15877" width="7.25" style="29" customWidth="1"/>
    <col min="15878" max="15878" width="4.375" style="29" customWidth="1"/>
    <col min="15879" max="15879" width="8.125" style="29" customWidth="1"/>
    <col min="15880" max="15880" width="6.375" style="29" customWidth="1"/>
    <col min="15881" max="15881" width="3" style="29" customWidth="1"/>
    <col min="15882" max="15885" width="3.375" style="29" customWidth="1"/>
    <col min="15886" max="15886" width="1.75" style="29" customWidth="1"/>
    <col min="15887" max="15887" width="3.875" style="29" customWidth="1"/>
    <col min="15888" max="15888" width="1.5" style="29" customWidth="1"/>
    <col min="15889" max="15892" width="3.375" style="29" customWidth="1"/>
    <col min="15893" max="16128" width="9" style="29"/>
    <col min="16129" max="16129" width="5.375" style="29" customWidth="1"/>
    <col min="16130" max="16130" width="8.25" style="29" customWidth="1"/>
    <col min="16131" max="16131" width="4.625" style="29" customWidth="1"/>
    <col min="16132" max="16132" width="3.5" style="29" customWidth="1"/>
    <col min="16133" max="16133" width="7.25" style="29" customWidth="1"/>
    <col min="16134" max="16134" width="4.375" style="29" customWidth="1"/>
    <col min="16135" max="16135" width="8.125" style="29" customWidth="1"/>
    <col min="16136" max="16136" width="6.375" style="29" customWidth="1"/>
    <col min="16137" max="16137" width="3" style="29" customWidth="1"/>
    <col min="16138" max="16141" width="3.375" style="29" customWidth="1"/>
    <col min="16142" max="16142" width="1.75" style="29" customWidth="1"/>
    <col min="16143" max="16143" width="3.875" style="29" customWidth="1"/>
    <col min="16144" max="16144" width="1.5" style="29" customWidth="1"/>
    <col min="16145" max="16148" width="3.375" style="29" customWidth="1"/>
    <col min="16149" max="16384" width="9" style="29"/>
  </cols>
  <sheetData>
    <row r="1" spans="1:48" ht="57.7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row>
    <row r="2" spans="1:48" ht="22.5">
      <c r="A2" s="23" t="s">
        <v>146</v>
      </c>
    </row>
    <row r="3" spans="1:48" ht="22.5">
      <c r="A3" s="23" t="s">
        <v>78</v>
      </c>
    </row>
    <row r="4" spans="1:48" ht="22.5">
      <c r="A4" s="23" t="s">
        <v>147</v>
      </c>
    </row>
    <row r="5" spans="1:48" ht="22.5">
      <c r="A5" s="23" t="s">
        <v>148</v>
      </c>
    </row>
    <row r="6" spans="1:48" ht="22.5">
      <c r="A6" s="23"/>
    </row>
    <row r="7" spans="1:48" s="12" customFormat="1" ht="22.5">
      <c r="A7" s="222" t="s">
        <v>70</v>
      </c>
    </row>
    <row r="8" spans="1:48" s="12" customFormat="1" ht="20.25" customHeight="1" thickBot="1">
      <c r="B8" s="279">
        <v>50</v>
      </c>
      <c r="C8" s="254" t="s">
        <v>102</v>
      </c>
      <c r="E8" s="70">
        <v>50</v>
      </c>
      <c r="G8" s="70">
        <v>0.5</v>
      </c>
      <c r="H8" s="17" t="str">
        <f>IF(G8="","",IF(B8/100=G8,"J","L"))</f>
        <v>J</v>
      </c>
      <c r="I8" s="17"/>
    </row>
    <row r="9" spans="1:48" s="12" customFormat="1" ht="20.25" customHeight="1" thickTop="1">
      <c r="B9" s="279"/>
      <c r="C9" s="254"/>
      <c r="E9" s="71">
        <v>100</v>
      </c>
    </row>
    <row r="10" spans="1:48" s="12" customFormat="1">
      <c r="E10" s="19" t="str">
        <f>IF(E9="","",IF(E8="","",IF(E8/E9=B8/100,"J","L")))</f>
        <v>J</v>
      </c>
    </row>
    <row r="11" spans="1:48" s="12" customFormat="1"/>
    <row r="12" spans="1:48" s="12" customFormat="1" ht="20.25" customHeight="1" thickBot="1">
      <c r="B12" s="279">
        <v>25</v>
      </c>
      <c r="C12" s="254" t="s">
        <v>102</v>
      </c>
      <c r="E12" s="70">
        <v>25</v>
      </c>
      <c r="G12" s="70">
        <v>0.25</v>
      </c>
      <c r="H12" s="17" t="str">
        <f>IF(G12="","",IF(B12/100=G12,"J","L"))</f>
        <v>J</v>
      </c>
      <c r="I12" s="17"/>
    </row>
    <row r="13" spans="1:48" s="12" customFormat="1" ht="20.25" customHeight="1" thickTop="1">
      <c r="B13" s="279"/>
      <c r="C13" s="254"/>
      <c r="E13" s="71">
        <v>100</v>
      </c>
    </row>
    <row r="14" spans="1:48" s="12" customFormat="1" ht="20.25" customHeight="1">
      <c r="E14" s="19" t="str">
        <f>IF(E13="","",IF(E12="","",IF(E12/E13=B12/100,"J","L")))</f>
        <v>J</v>
      </c>
    </row>
    <row r="15" spans="1:48" s="12" customFormat="1"/>
    <row r="16" spans="1:48" s="12" customFormat="1" ht="20.25" customHeight="1" thickBot="1">
      <c r="B16" s="279">
        <v>12.5</v>
      </c>
      <c r="C16" s="254" t="s">
        <v>102</v>
      </c>
      <c r="E16" s="70">
        <v>12.5</v>
      </c>
      <c r="G16" s="70">
        <v>0.125</v>
      </c>
      <c r="H16" s="17" t="str">
        <f>IF(G16="","",IF(B16/100=G16,"J","L"))</f>
        <v>J</v>
      </c>
      <c r="I16" s="17"/>
    </row>
    <row r="17" spans="1:24" s="12" customFormat="1" ht="20.25" customHeight="1" thickTop="1">
      <c r="B17" s="279"/>
      <c r="C17" s="254"/>
      <c r="E17" s="71">
        <v>100</v>
      </c>
    </row>
    <row r="18" spans="1:24" s="12" customFormat="1">
      <c r="E18" s="19" t="str">
        <f>IF(E17="","",IF(E16="","",IF(E16/E17=B16/100,"J","L")))</f>
        <v>J</v>
      </c>
    </row>
    <row r="19" spans="1:24" s="12" customFormat="1"/>
    <row r="20" spans="1:24" s="12" customFormat="1" ht="23.25" thickBot="1">
      <c r="A20" s="222"/>
      <c r="B20" s="279">
        <v>6</v>
      </c>
      <c r="C20" s="254" t="s">
        <v>102</v>
      </c>
      <c r="E20" s="70">
        <v>6</v>
      </c>
      <c r="G20" s="70">
        <v>0.06</v>
      </c>
      <c r="H20" s="17" t="str">
        <f>IF(G20="","",IF(B20/100=G20,"J","L"))</f>
        <v>J</v>
      </c>
    </row>
    <row r="21" spans="1:24" s="12" customFormat="1" ht="20.25" thickTop="1">
      <c r="B21" s="279"/>
      <c r="C21" s="254"/>
      <c r="E21" s="71">
        <v>100</v>
      </c>
    </row>
    <row r="22" spans="1:24" s="12" customFormat="1">
      <c r="E22" s="19" t="str">
        <f>IF(E21="","",IF(E20="","",IF(E20/E21=B20/100,"J","L")))</f>
        <v>J</v>
      </c>
    </row>
    <row r="23" spans="1:24" s="12" customFormat="1"/>
    <row r="24" spans="1:24" s="12" customFormat="1" ht="20.25" thickBot="1">
      <c r="B24" s="279">
        <v>125</v>
      </c>
      <c r="C24" s="254" t="s">
        <v>102</v>
      </c>
      <c r="E24" s="70">
        <v>125</v>
      </c>
      <c r="G24" s="70">
        <v>1.25</v>
      </c>
      <c r="H24" s="17" t="str">
        <f>IF(G24="","",IF(B24/100=G24,"J","L"))</f>
        <v>J</v>
      </c>
    </row>
    <row r="25" spans="1:24" s="12" customFormat="1" ht="20.25" thickTop="1">
      <c r="B25" s="279"/>
      <c r="C25" s="254"/>
      <c r="E25" s="71">
        <v>100</v>
      </c>
    </row>
    <row r="26" spans="1:24" s="12" customFormat="1">
      <c r="E26" s="19" t="str">
        <f>IF(E25="","",IF(E24="","",IF(E24/E25=B24/100,"J","L")))</f>
        <v>J</v>
      </c>
    </row>
    <row r="27" spans="1:24" s="12" customFormat="1"/>
    <row r="28" spans="1:24" s="12" customFormat="1"/>
    <row r="29" spans="1:24" ht="20.25">
      <c r="A29" s="47"/>
      <c r="B29" s="47"/>
      <c r="C29" s="47"/>
      <c r="D29" s="47"/>
      <c r="E29" s="47"/>
      <c r="F29" s="47"/>
      <c r="G29" s="47"/>
      <c r="H29" s="43"/>
      <c r="I29" s="43"/>
      <c r="J29" s="43"/>
      <c r="K29" s="44"/>
      <c r="L29" s="53"/>
      <c r="M29" s="43"/>
      <c r="N29" s="43"/>
      <c r="O29" s="43"/>
      <c r="P29" s="43"/>
      <c r="Q29" s="47"/>
      <c r="R29" s="47"/>
      <c r="S29" s="47"/>
      <c r="T29" s="47"/>
      <c r="U29" s="47"/>
      <c r="V29" s="47"/>
      <c r="W29" s="47"/>
      <c r="X29" s="47"/>
    </row>
    <row r="30" spans="1:24" ht="48.75" customHeight="1"/>
    <row r="31" spans="1:24">
      <c r="A31" s="29" t="s">
        <v>149</v>
      </c>
    </row>
    <row r="32" spans="1:24" ht="20.25" customHeight="1" thickBot="1">
      <c r="A32" s="29" t="s">
        <v>54</v>
      </c>
      <c r="B32" s="279">
        <v>30</v>
      </c>
      <c r="C32" s="254" t="s">
        <v>102</v>
      </c>
      <c r="E32" s="215"/>
      <c r="G32" s="215"/>
      <c r="H32" s="17" t="str">
        <f>IF(G32="","",IF(B32/100=G32,"J","L"))</f>
        <v/>
      </c>
      <c r="I32" s="17"/>
    </row>
    <row r="33" spans="1:9" ht="20.25" customHeight="1" thickTop="1">
      <c r="B33" s="279"/>
      <c r="C33" s="254"/>
      <c r="E33" s="32"/>
      <c r="G33" s="12"/>
      <c r="H33" s="12"/>
      <c r="I33" s="12"/>
    </row>
    <row r="34" spans="1:9">
      <c r="E34" s="19" t="str">
        <f>IF(E33="","",IF(E32="","",IF(E32/E33=B32/100,"J","L")))</f>
        <v/>
      </c>
      <c r="F34" s="12"/>
      <c r="G34" s="12"/>
      <c r="H34" s="12"/>
      <c r="I34" s="12"/>
    </row>
    <row r="35" spans="1:9">
      <c r="D35" s="12"/>
      <c r="E35" s="12"/>
      <c r="F35" s="12"/>
      <c r="G35" s="12"/>
      <c r="H35" s="12"/>
      <c r="I35" s="12"/>
    </row>
    <row r="36" spans="1:9" ht="20.25" customHeight="1" thickBot="1">
      <c r="A36" s="29" t="s">
        <v>55</v>
      </c>
      <c r="B36" s="279">
        <v>40</v>
      </c>
      <c r="C36" s="254" t="s">
        <v>102</v>
      </c>
      <c r="E36" s="215"/>
      <c r="G36" s="215"/>
      <c r="H36" s="17" t="str">
        <f>IF(G36="","",IF(B36/100=G36,"J","L"))</f>
        <v/>
      </c>
      <c r="I36" s="17"/>
    </row>
    <row r="37" spans="1:9" ht="20.25" customHeight="1" thickTop="1">
      <c r="B37" s="279"/>
      <c r="C37" s="254"/>
      <c r="E37" s="32"/>
      <c r="G37" s="12"/>
      <c r="H37" s="12"/>
      <c r="I37" s="12"/>
    </row>
    <row r="38" spans="1:9" ht="20.25" customHeight="1">
      <c r="E38" s="19" t="str">
        <f>IF(E37="","",IF(E36="","",IF(E36/E37=B36/100,"J","L")))</f>
        <v/>
      </c>
      <c r="H38" s="12"/>
      <c r="I38" s="12"/>
    </row>
    <row r="39" spans="1:9">
      <c r="H39" s="12"/>
      <c r="I39" s="12"/>
    </row>
    <row r="40" spans="1:9" ht="20.25" customHeight="1" thickBot="1">
      <c r="A40" s="29" t="s">
        <v>56</v>
      </c>
      <c r="B40" s="279">
        <v>80</v>
      </c>
      <c r="C40" s="254" t="s">
        <v>102</v>
      </c>
      <c r="E40" s="215"/>
      <c r="F40" s="12"/>
      <c r="G40" s="215"/>
      <c r="H40" s="17" t="str">
        <f>IF(G40="","",IF(B40/100=G40,"J","L"))</f>
        <v/>
      </c>
      <c r="I40" s="17"/>
    </row>
    <row r="41" spans="1:9" ht="20.25" customHeight="1" thickTop="1">
      <c r="B41" s="279"/>
      <c r="C41" s="254"/>
      <c r="E41" s="32"/>
      <c r="F41" s="12"/>
      <c r="G41" s="12"/>
      <c r="H41" s="12"/>
      <c r="I41" s="12"/>
    </row>
    <row r="42" spans="1:9">
      <c r="E42" s="19" t="str">
        <f>IF(E41="","",IF(E40="","",IF(E40/E41=B40/100,"J","L")))</f>
        <v/>
      </c>
      <c r="F42" s="12"/>
      <c r="H42" s="12"/>
      <c r="I42" s="12"/>
    </row>
    <row r="44" spans="1:9" ht="23.25" thickBot="1">
      <c r="A44" s="23" t="s">
        <v>57</v>
      </c>
      <c r="B44" s="279">
        <v>5</v>
      </c>
      <c r="C44" s="254" t="s">
        <v>102</v>
      </c>
      <c r="E44" s="215"/>
      <c r="F44" s="12"/>
      <c r="G44" s="215"/>
      <c r="H44" s="17" t="str">
        <f>IF(G44="","",IF(B44/100=G44,"J","L"))</f>
        <v/>
      </c>
    </row>
    <row r="45" spans="1:9" ht="20.25" thickTop="1">
      <c r="B45" s="279"/>
      <c r="C45" s="254"/>
      <c r="E45" s="32"/>
      <c r="F45" s="12"/>
      <c r="G45" s="12"/>
      <c r="H45" s="12"/>
    </row>
    <row r="46" spans="1:9">
      <c r="E46" s="19" t="str">
        <f>IF(E45="","",IF(E44="","",IF(E44/E45=B44/100,"J","L")))</f>
        <v/>
      </c>
      <c r="F46" s="12"/>
      <c r="H46" s="12"/>
    </row>
    <row r="48" spans="1:9" ht="20.25" thickBot="1">
      <c r="A48" s="29" t="s">
        <v>58</v>
      </c>
      <c r="B48" s="279">
        <v>130</v>
      </c>
      <c r="C48" s="254" t="s">
        <v>102</v>
      </c>
      <c r="E48" s="215"/>
      <c r="F48" s="12"/>
      <c r="G48" s="215"/>
      <c r="H48" s="17" t="str">
        <f>IF(G48="","",IF(B48/100=G48,"J","L"))</f>
        <v/>
      </c>
    </row>
    <row r="49" spans="1:9" ht="20.25" thickTop="1">
      <c r="B49" s="279"/>
      <c r="C49" s="254"/>
      <c r="E49" s="32"/>
      <c r="F49" s="12"/>
      <c r="G49" s="12"/>
      <c r="H49" s="12"/>
    </row>
    <row r="50" spans="1:9">
      <c r="E50" s="19" t="str">
        <f>IF(E49="","",IF(E48="","",IF(E48/E49=B48/100,"J","L")))</f>
        <v/>
      </c>
      <c r="F50" s="12"/>
      <c r="H50" s="12"/>
    </row>
    <row r="51" spans="1:9">
      <c r="E51" s="19"/>
      <c r="F51" s="12"/>
      <c r="H51" s="12"/>
    </row>
    <row r="52" spans="1:9" ht="20.25" customHeight="1" thickBot="1">
      <c r="A52" s="29" t="s">
        <v>60</v>
      </c>
      <c r="B52" s="279">
        <v>45</v>
      </c>
      <c r="C52" s="254" t="s">
        <v>102</v>
      </c>
      <c r="E52" s="215"/>
      <c r="G52" s="215"/>
      <c r="H52" s="17" t="str">
        <f>IF(G52="","",IF(B52/100=G52,"J","L"))</f>
        <v/>
      </c>
      <c r="I52" s="17"/>
    </row>
    <row r="53" spans="1:9" ht="20.25" customHeight="1" thickTop="1">
      <c r="B53" s="279"/>
      <c r="C53" s="254"/>
      <c r="E53" s="32"/>
      <c r="G53" s="12"/>
      <c r="H53" s="12"/>
      <c r="I53" s="12"/>
    </row>
    <row r="54" spans="1:9">
      <c r="E54" s="19" t="str">
        <f>IF(E53="","",IF(E52="","",IF(E52/E53=B52/100,"J","L")))</f>
        <v/>
      </c>
      <c r="F54" s="12"/>
      <c r="G54" s="12"/>
      <c r="H54" s="12"/>
      <c r="I54" s="12"/>
    </row>
    <row r="55" spans="1:9">
      <c r="D55" s="12"/>
      <c r="E55" s="12"/>
      <c r="F55" s="12"/>
      <c r="G55" s="12"/>
      <c r="H55" s="12"/>
      <c r="I55" s="12"/>
    </row>
    <row r="56" spans="1:9" ht="20.25" customHeight="1" thickBot="1">
      <c r="A56" s="29" t="s">
        <v>61</v>
      </c>
      <c r="B56" s="279">
        <v>2</v>
      </c>
      <c r="C56" s="254" t="s">
        <v>102</v>
      </c>
      <c r="E56" s="215"/>
      <c r="G56" s="215"/>
      <c r="H56" s="17" t="str">
        <f>IF(G56="","",IF(B56/100=G56,"J","L"))</f>
        <v/>
      </c>
      <c r="I56" s="17"/>
    </row>
    <row r="57" spans="1:9" ht="20.25" customHeight="1" thickTop="1">
      <c r="B57" s="279"/>
      <c r="C57" s="254"/>
      <c r="E57" s="32"/>
      <c r="G57" s="12"/>
      <c r="H57" s="12"/>
      <c r="I57" s="12"/>
    </row>
    <row r="58" spans="1:9" ht="20.25" customHeight="1">
      <c r="E58" s="19" t="str">
        <f>IF(E57="","",IF(E56="","",IF(E56/E57=B56/100,"J","L")))</f>
        <v/>
      </c>
      <c r="H58" s="12"/>
      <c r="I58" s="12"/>
    </row>
    <row r="59" spans="1:9">
      <c r="H59" s="12"/>
      <c r="I59" s="12"/>
    </row>
    <row r="60" spans="1:9" ht="20.25" customHeight="1" thickBot="1">
      <c r="A60" s="29" t="s">
        <v>62</v>
      </c>
      <c r="B60" s="279">
        <v>120</v>
      </c>
      <c r="C60" s="254" t="s">
        <v>102</v>
      </c>
      <c r="E60" s="215"/>
      <c r="F60" s="12"/>
      <c r="G60" s="215"/>
      <c r="H60" s="17" t="str">
        <f>IF(G60="","",IF(B60/100=G60,"J","L"))</f>
        <v/>
      </c>
      <c r="I60" s="17"/>
    </row>
    <row r="61" spans="1:9" ht="20.25" customHeight="1" thickTop="1">
      <c r="B61" s="279"/>
      <c r="C61" s="254"/>
      <c r="E61" s="32"/>
      <c r="F61" s="12"/>
      <c r="G61" s="12"/>
      <c r="H61" s="12"/>
      <c r="I61" s="12"/>
    </row>
    <row r="62" spans="1:9">
      <c r="E62" s="19" t="str">
        <f>IF(E61="","",IF(E60="","",IF(E60/E61=B60/100,"J","L")))</f>
        <v/>
      </c>
      <c r="F62" s="12"/>
      <c r="H62" s="12"/>
      <c r="I62" s="12"/>
    </row>
    <row r="64" spans="1:9" ht="23.25" thickBot="1">
      <c r="A64" s="23" t="s">
        <v>63</v>
      </c>
      <c r="B64" s="279">
        <v>75</v>
      </c>
      <c r="C64" s="254" t="s">
        <v>102</v>
      </c>
      <c r="E64" s="215"/>
      <c r="F64" s="12"/>
      <c r="G64" s="215"/>
      <c r="H64" s="17" t="str">
        <f>IF(G64="","",IF(B64/100=G64,"J","L"))</f>
        <v/>
      </c>
    </row>
    <row r="65" spans="1:38" ht="20.25" thickTop="1">
      <c r="B65" s="279"/>
      <c r="C65" s="254"/>
      <c r="E65" s="32"/>
      <c r="F65" s="12"/>
      <c r="G65" s="12"/>
      <c r="H65" s="12"/>
    </row>
    <row r="66" spans="1:38">
      <c r="E66" s="19" t="str">
        <f>IF(E65="","",IF(E64="","",IF(E64/E65=B64/100,"J","L")))</f>
        <v/>
      </c>
      <c r="F66" s="12"/>
      <c r="H66" s="12"/>
    </row>
    <row r="68" spans="1:38" ht="20.25" thickBot="1">
      <c r="A68" s="29" t="s">
        <v>64</v>
      </c>
      <c r="B68" s="279">
        <v>10</v>
      </c>
      <c r="C68" s="254" t="s">
        <v>102</v>
      </c>
      <c r="E68" s="215"/>
      <c r="F68" s="12"/>
      <c r="G68" s="215"/>
      <c r="H68" s="17" t="str">
        <f>IF(G68="","",IF(B68/100=G68,"J","L"))</f>
        <v/>
      </c>
    </row>
    <row r="69" spans="1:38" ht="20.25" thickTop="1">
      <c r="B69" s="279"/>
      <c r="C69" s="254"/>
      <c r="E69" s="32"/>
      <c r="F69" s="12"/>
      <c r="G69" s="12"/>
      <c r="H69" s="12"/>
    </row>
    <row r="70" spans="1:38" ht="20.25" thickBot="1">
      <c r="E70" s="19" t="str">
        <f>IF(E69="","",IF(E68="","",IF(E68/E69=B68/100,"J","L")))</f>
        <v/>
      </c>
      <c r="F70" s="12"/>
      <c r="H70" s="12"/>
    </row>
    <row r="71" spans="1:38" ht="42.75" customHeight="1" thickTop="1" thickBot="1">
      <c r="A71" s="16"/>
      <c r="B71" s="16"/>
      <c r="C71" s="16"/>
      <c r="D71" s="16"/>
      <c r="E71" s="16"/>
      <c r="F71" s="223">
        <f>F73*10</f>
        <v>0</v>
      </c>
      <c r="G71" s="90" t="s">
        <v>102</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row>
    <row r="72" spans="1:38" ht="13.5" customHeight="1" thickTop="1" thickBo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1:38" s="16" customFormat="1" ht="22.5" customHeight="1" thickTop="1" thickBot="1">
      <c r="D73" s="24" t="s">
        <v>104</v>
      </c>
      <c r="F73" s="87">
        <f>COUNTIF(H32:H69,"J")</f>
        <v>0</v>
      </c>
      <c r="G73" s="24" t="s">
        <v>105</v>
      </c>
    </row>
    <row r="74" spans="1:38" s="16" customFormat="1" ht="15.75" thickTop="1"/>
    <row r="75" spans="1:38">
      <c r="A75" s="29" t="s">
        <v>150</v>
      </c>
    </row>
    <row r="76" spans="1:38">
      <c r="A76" s="29" t="s">
        <v>151</v>
      </c>
    </row>
    <row r="77" spans="1:38" ht="20.25" customHeight="1">
      <c r="A77" s="29" t="s">
        <v>54</v>
      </c>
      <c r="B77" s="279">
        <v>46</v>
      </c>
      <c r="C77" s="254" t="s">
        <v>102</v>
      </c>
      <c r="E77" s="215"/>
      <c r="F77" s="17" t="str">
        <f>IF(E77="","",IF(B77/100=E77,"J","L"))</f>
        <v/>
      </c>
      <c r="I77" s="17"/>
    </row>
    <row r="78" spans="1:38" ht="20.25" customHeight="1">
      <c r="B78" s="279"/>
      <c r="C78" s="254"/>
      <c r="E78" s="12"/>
      <c r="F78" s="12"/>
      <c r="I78" s="12"/>
    </row>
    <row r="79" spans="1:38">
      <c r="E79" s="12"/>
      <c r="F79" s="12"/>
      <c r="I79" s="12"/>
    </row>
    <row r="80" spans="1:38">
      <c r="D80" s="12"/>
      <c r="E80" s="12"/>
      <c r="F80" s="12"/>
      <c r="I80" s="12"/>
    </row>
    <row r="81" spans="1:9" ht="20.25" customHeight="1">
      <c r="A81" s="29" t="s">
        <v>55</v>
      </c>
      <c r="B81" s="279">
        <v>78</v>
      </c>
      <c r="C81" s="254" t="s">
        <v>102</v>
      </c>
      <c r="E81" s="215"/>
      <c r="F81" s="17" t="str">
        <f>IF(E81="","",IF(B81/100=E81,"J","L"))</f>
        <v/>
      </c>
      <c r="I81" s="17"/>
    </row>
    <row r="82" spans="1:9" ht="20.25" customHeight="1">
      <c r="B82" s="279"/>
      <c r="C82" s="254"/>
      <c r="E82" s="12"/>
      <c r="F82" s="12"/>
      <c r="I82" s="12"/>
    </row>
    <row r="83" spans="1:9" ht="20.25" customHeight="1">
      <c r="F83" s="12"/>
      <c r="I83" s="12"/>
    </row>
    <row r="84" spans="1:9">
      <c r="F84" s="12"/>
      <c r="I84" s="12"/>
    </row>
    <row r="85" spans="1:9" ht="20.25" customHeight="1">
      <c r="A85" s="29" t="s">
        <v>56</v>
      </c>
      <c r="B85" s="279">
        <v>100</v>
      </c>
      <c r="C85" s="254" t="s">
        <v>102</v>
      </c>
      <c r="E85" s="215"/>
      <c r="F85" s="17" t="str">
        <f>IF(E85="","",IF(B85/100=E85,"J","L"))</f>
        <v/>
      </c>
      <c r="I85" s="17"/>
    </row>
    <row r="86" spans="1:9" ht="20.25" customHeight="1">
      <c r="B86" s="279"/>
      <c r="C86" s="254"/>
      <c r="E86" s="12"/>
      <c r="F86" s="12"/>
      <c r="I86" s="12"/>
    </row>
    <row r="87" spans="1:9">
      <c r="F87" s="12"/>
      <c r="I87" s="12"/>
    </row>
    <row r="89" spans="1:9" ht="22.5">
      <c r="A89" s="23" t="s">
        <v>57</v>
      </c>
      <c r="B89" s="279">
        <v>32.200000000000003</v>
      </c>
      <c r="C89" s="254" t="s">
        <v>102</v>
      </c>
      <c r="E89" s="215"/>
      <c r="F89" s="17" t="str">
        <f>IF(E89="","",IF(B89/100=E89,"J","L"))</f>
        <v/>
      </c>
    </row>
    <row r="90" spans="1:9">
      <c r="B90" s="279"/>
      <c r="C90" s="254"/>
      <c r="E90" s="12"/>
      <c r="F90" s="12"/>
    </row>
    <row r="91" spans="1:9">
      <c r="F91" s="12"/>
    </row>
    <row r="93" spans="1:9">
      <c r="A93" s="29" t="s">
        <v>58</v>
      </c>
      <c r="B93" s="279">
        <v>125</v>
      </c>
      <c r="C93" s="254" t="s">
        <v>102</v>
      </c>
      <c r="E93" s="215"/>
      <c r="F93" s="17" t="str">
        <f>IF(E93="","",IF(B93/100=E93,"J","L"))</f>
        <v/>
      </c>
    </row>
    <row r="94" spans="1:9">
      <c r="B94" s="279"/>
      <c r="C94" s="254"/>
      <c r="E94" s="12"/>
      <c r="F94" s="12"/>
    </row>
    <row r="95" spans="1:9">
      <c r="F95" s="12"/>
    </row>
    <row r="96" spans="1:9">
      <c r="F96" s="12"/>
    </row>
    <row r="97" spans="1:9" ht="20.25" customHeight="1">
      <c r="A97" s="29" t="s">
        <v>60</v>
      </c>
      <c r="B97" s="279">
        <v>7</v>
      </c>
      <c r="C97" s="254" t="s">
        <v>102</v>
      </c>
      <c r="E97" s="215"/>
      <c r="F97" s="17" t="str">
        <f>IF(E97="","",IF(B97/100=E97,"J","L"))</f>
        <v/>
      </c>
      <c r="I97" s="17"/>
    </row>
    <row r="98" spans="1:9" ht="20.25" customHeight="1">
      <c r="B98" s="279"/>
      <c r="C98" s="254"/>
      <c r="E98" s="12"/>
      <c r="F98" s="12"/>
      <c r="I98" s="12"/>
    </row>
    <row r="99" spans="1:9">
      <c r="E99" s="12"/>
      <c r="F99" s="12"/>
      <c r="I99" s="12"/>
    </row>
    <row r="100" spans="1:9">
      <c r="D100" s="12"/>
      <c r="E100" s="12"/>
      <c r="F100" s="12"/>
      <c r="I100" s="12"/>
    </row>
    <row r="101" spans="1:9" ht="20.25" customHeight="1">
      <c r="A101" s="29" t="s">
        <v>61</v>
      </c>
      <c r="B101" s="279">
        <v>122</v>
      </c>
      <c r="C101" s="254" t="s">
        <v>102</v>
      </c>
      <c r="E101" s="215"/>
      <c r="F101" s="17" t="str">
        <f>IF(E101="","",IF(B101/100=E101,"J","L"))</f>
        <v/>
      </c>
      <c r="I101" s="17"/>
    </row>
    <row r="102" spans="1:9" ht="20.25" customHeight="1">
      <c r="B102" s="279"/>
      <c r="C102" s="254"/>
      <c r="E102" s="12"/>
      <c r="F102" s="12"/>
      <c r="I102" s="12"/>
    </row>
    <row r="103" spans="1:9" ht="20.25" customHeight="1">
      <c r="F103" s="12"/>
      <c r="I103" s="12"/>
    </row>
    <row r="104" spans="1:9">
      <c r="F104" s="12"/>
      <c r="I104" s="12"/>
    </row>
    <row r="105" spans="1:9" ht="20.25" customHeight="1">
      <c r="A105" s="29" t="s">
        <v>62</v>
      </c>
      <c r="B105" s="279">
        <v>450</v>
      </c>
      <c r="C105" s="254" t="s">
        <v>102</v>
      </c>
      <c r="E105" s="215"/>
      <c r="F105" s="17" t="str">
        <f>IF(E105="","",IF(B105/100=E105,"J","L"))</f>
        <v/>
      </c>
      <c r="I105" s="17"/>
    </row>
    <row r="106" spans="1:9" ht="20.25" customHeight="1">
      <c r="B106" s="279"/>
      <c r="C106" s="254"/>
      <c r="E106" s="12"/>
      <c r="F106" s="12"/>
      <c r="I106" s="12"/>
    </row>
    <row r="107" spans="1:9">
      <c r="F107" s="12"/>
      <c r="I107" s="12"/>
    </row>
    <row r="109" spans="1:9" ht="22.5">
      <c r="A109" s="23" t="s">
        <v>63</v>
      </c>
      <c r="B109" s="279">
        <v>39</v>
      </c>
      <c r="C109" s="254" t="s">
        <v>102</v>
      </c>
      <c r="E109" s="215"/>
      <c r="F109" s="17" t="str">
        <f>IF(E109="","",IF(B109/100=E109,"J","L"))</f>
        <v/>
      </c>
    </row>
    <row r="110" spans="1:9">
      <c r="B110" s="279"/>
      <c r="C110" s="254"/>
      <c r="E110" s="12"/>
      <c r="F110" s="12"/>
    </row>
    <row r="111" spans="1:9">
      <c r="F111" s="12"/>
    </row>
    <row r="113" spans="1:38">
      <c r="A113" s="29" t="s">
        <v>64</v>
      </c>
      <c r="B113" s="279">
        <v>1000</v>
      </c>
      <c r="C113" s="254" t="s">
        <v>102</v>
      </c>
      <c r="E113" s="215"/>
      <c r="F113" s="17" t="str">
        <f>IF(E113="","",IF(B113/100=E113,"J","L"))</f>
        <v/>
      </c>
    </row>
    <row r="114" spans="1:38">
      <c r="B114" s="279"/>
      <c r="C114" s="254"/>
      <c r="E114" s="12"/>
      <c r="F114" s="12"/>
    </row>
    <row r="115" spans="1:38" ht="20.25" thickBot="1">
      <c r="E115" s="19"/>
      <c r="F115" s="12"/>
      <c r="H115" s="12"/>
    </row>
    <row r="116" spans="1:38" ht="42.75" customHeight="1" thickTop="1" thickBot="1">
      <c r="A116" s="16"/>
      <c r="B116" s="16"/>
      <c r="C116" s="16"/>
      <c r="D116" s="16"/>
      <c r="E116" s="16"/>
      <c r="F116" s="223">
        <f>F118*10</f>
        <v>0</v>
      </c>
      <c r="G116" s="90" t="s">
        <v>102</v>
      </c>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row>
    <row r="117" spans="1:38" ht="13.5" customHeight="1" thickTop="1" thickBo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row>
    <row r="118" spans="1:38" s="16" customFormat="1" ht="22.5" customHeight="1" thickTop="1" thickBot="1">
      <c r="D118" s="24" t="s">
        <v>104</v>
      </c>
      <c r="F118" s="87">
        <f>COUNTIF(F77:F114,"J")</f>
        <v>0</v>
      </c>
      <c r="G118" s="24" t="s">
        <v>105</v>
      </c>
    </row>
    <row r="119" spans="1:38" s="16" customFormat="1" ht="15.75" thickTop="1"/>
  </sheetData>
  <sheetProtection password="C613" sheet="1" objects="1" scenarios="1"/>
  <mergeCells count="50">
    <mergeCell ref="B113:B114"/>
    <mergeCell ref="C113:C114"/>
    <mergeCell ref="B101:B102"/>
    <mergeCell ref="C101:C102"/>
    <mergeCell ref="B105:B106"/>
    <mergeCell ref="C105:C106"/>
    <mergeCell ref="B109:B110"/>
    <mergeCell ref="C109:C110"/>
    <mergeCell ref="B89:B90"/>
    <mergeCell ref="C89:C90"/>
    <mergeCell ref="B93:B94"/>
    <mergeCell ref="C93:C94"/>
    <mergeCell ref="B97:B98"/>
    <mergeCell ref="C97:C98"/>
    <mergeCell ref="B77:B78"/>
    <mergeCell ref="C77:C78"/>
    <mergeCell ref="B81:B82"/>
    <mergeCell ref="C81:C82"/>
    <mergeCell ref="B85:B86"/>
    <mergeCell ref="C85:C86"/>
    <mergeCell ref="B60:B61"/>
    <mergeCell ref="C60:C61"/>
    <mergeCell ref="B64:B65"/>
    <mergeCell ref="C64:C65"/>
    <mergeCell ref="B68:B69"/>
    <mergeCell ref="C68:C69"/>
    <mergeCell ref="B48:B49"/>
    <mergeCell ref="C48:C49"/>
    <mergeCell ref="B52:B53"/>
    <mergeCell ref="C52:C53"/>
    <mergeCell ref="B56:B57"/>
    <mergeCell ref="C56:C57"/>
    <mergeCell ref="B36:B37"/>
    <mergeCell ref="C36:C37"/>
    <mergeCell ref="B40:B41"/>
    <mergeCell ref="C40:C41"/>
    <mergeCell ref="B44:B45"/>
    <mergeCell ref="C44:C45"/>
    <mergeCell ref="B20:B21"/>
    <mergeCell ref="C20:C21"/>
    <mergeCell ref="B24:B25"/>
    <mergeCell ref="C24:C25"/>
    <mergeCell ref="B32:B33"/>
    <mergeCell ref="C32:C33"/>
    <mergeCell ref="B8:B9"/>
    <mergeCell ref="C8:C9"/>
    <mergeCell ref="B12:B13"/>
    <mergeCell ref="C12:C13"/>
    <mergeCell ref="B16:B17"/>
    <mergeCell ref="C16:C17"/>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ΠΕΡΙΕΧΟΜΕΝΑ</vt:lpstr>
      <vt:lpstr>Μετατροπή κλασμ. σε δεκαδικούς</vt:lpstr>
      <vt:lpstr>Μετατρ κλάσμ σε δεκαδ.σε επιφ1</vt:lpstr>
      <vt:lpstr>Μετατρ κλ σε δεκαδ σε επιφάν.2</vt:lpstr>
      <vt:lpstr>Μετατροπή κλάσμ σε ποσοστό</vt:lpstr>
      <vt:lpstr>Κλ δεκαδ ποσοστά σε αριθμ γραμμ</vt:lpstr>
      <vt:lpstr>Το καρναβάλι των αριθμών</vt:lpstr>
      <vt:lpstr>ΣΥΓΚΡΙΣΗ Κλάσμ. Δεκαδικ.Ποσοστά</vt:lpstr>
      <vt:lpstr>Μετατροπή ποσοστού σε δεκαδικό</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Kypros</cp:lastModifiedBy>
  <cp:lastPrinted>2010-11-22T20:14:25Z</cp:lastPrinted>
  <dcterms:created xsi:type="dcterms:W3CDTF">2004-10-06T02:06:47Z</dcterms:created>
  <dcterms:modified xsi:type="dcterms:W3CDTF">2020-04-20T11:46:03Z</dcterms:modified>
</cp:coreProperties>
</file>